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tabRatio="768"/>
  </bookViews>
  <sheets>
    <sheet name="资金分配表" sheetId="4" r:id="rId1"/>
    <sheet name="县域养老服务体系创新试点经费测算情况表" sheetId="1" state="hidden" r:id="rId2"/>
    <sheet name="老年助餐经费测算情况表" sheetId="2" state="hidden" r:id="rId3"/>
    <sheet name="县域养老服务体系创新试点方向基础数据" sheetId="5" state="hidden" r:id="rId4"/>
    <sheet name="老年助餐方向基础数据" sheetId="7" state="hidden" r:id="rId5"/>
    <sheet name="县域养老分档金额" sheetId="3" state="hidden" r:id="rId6"/>
    <sheet name="财政困难系数" sheetId="6" state="hidden" r:id="rId7"/>
  </sheets>
  <definedNames>
    <definedName name="_xlnm._FilterDatabase" localSheetId="2" hidden="1">老年助餐经费测算情况表!$A$6:$Z$45</definedName>
    <definedName name="_xlnm._FilterDatabase" localSheetId="4" hidden="1">老年助餐方向基础数据!$A$1:$K$38</definedName>
  </definedNames>
  <calcPr calcId="144525"/>
</workbook>
</file>

<file path=xl/sharedStrings.xml><?xml version="1.0" encoding="utf-8"?>
<sst xmlns="http://schemas.openxmlformats.org/spreadsheetml/2006/main" count="613" uniqueCount="222">
  <si>
    <t>附件1</t>
  </si>
  <si>
    <t>2026年中央专项彩票公益金支持县域养老服务提升计划项目资金分配表</t>
  </si>
  <si>
    <t>单位：万元</t>
  </si>
  <si>
    <t>地区（单位）</t>
  </si>
  <si>
    <t>项目资金
金额小计</t>
  </si>
  <si>
    <t>老年助餐经费</t>
  </si>
  <si>
    <t>县域养老服务体系创新试点经费</t>
  </si>
  <si>
    <t>2026年入选项目
地区</t>
  </si>
  <si>
    <t>2026年项目地区资金分配测算
金额</t>
  </si>
  <si>
    <t>本次下达金额</t>
  </si>
  <si>
    <t>合计</t>
  </si>
  <si>
    <t>-</t>
  </si>
  <si>
    <t>北京</t>
  </si>
  <si>
    <t>东城区</t>
  </si>
  <si>
    <t>天津</t>
  </si>
  <si>
    <t>北辰区</t>
  </si>
  <si>
    <t>河北</t>
  </si>
  <si>
    <t>唐山市</t>
  </si>
  <si>
    <t>张家口市</t>
  </si>
  <si>
    <t>山西</t>
  </si>
  <si>
    <t>晋城市</t>
  </si>
  <si>
    <t>内蒙古</t>
  </si>
  <si>
    <t>呼和浩特市</t>
  </si>
  <si>
    <t>辽宁（不含大连）</t>
  </si>
  <si>
    <t>丹东市</t>
  </si>
  <si>
    <t>大连</t>
  </si>
  <si>
    <t>吉林</t>
  </si>
  <si>
    <t>长春市</t>
  </si>
  <si>
    <t>黑龙江</t>
  </si>
  <si>
    <t>哈尔滨市</t>
  </si>
  <si>
    <t>上海</t>
  </si>
  <si>
    <t>嘉定区</t>
  </si>
  <si>
    <t>江苏</t>
  </si>
  <si>
    <t>苏州市</t>
  </si>
  <si>
    <t>无锡市</t>
  </si>
  <si>
    <t>浙江（不含宁波）</t>
  </si>
  <si>
    <t>舟山市</t>
  </si>
  <si>
    <t>宁波</t>
  </si>
  <si>
    <t>宁波市</t>
  </si>
  <si>
    <t>安徽</t>
  </si>
  <si>
    <t>芜湖市</t>
  </si>
  <si>
    <t>福建（不含厦门）</t>
  </si>
  <si>
    <t>厦门</t>
  </si>
  <si>
    <t>江西</t>
  </si>
  <si>
    <t>新余市</t>
  </si>
  <si>
    <t>山东（不含青岛）</t>
  </si>
  <si>
    <t>潍坊市</t>
  </si>
  <si>
    <t>德州市</t>
  </si>
  <si>
    <t>泰安市</t>
  </si>
  <si>
    <t>青岛</t>
  </si>
  <si>
    <t>河南</t>
  </si>
  <si>
    <t>南阳市</t>
  </si>
  <si>
    <t>开封市</t>
  </si>
  <si>
    <t>湖北</t>
  </si>
  <si>
    <t>武汉市</t>
  </si>
  <si>
    <t>宜昌市</t>
  </si>
  <si>
    <t>湖南</t>
  </si>
  <si>
    <t>湘潭市</t>
  </si>
  <si>
    <t>岳阳市</t>
  </si>
  <si>
    <t>广东（不含深圳）</t>
  </si>
  <si>
    <t>江门市</t>
  </si>
  <si>
    <t>深圳</t>
  </si>
  <si>
    <t>广西</t>
  </si>
  <si>
    <t>崇左市</t>
  </si>
  <si>
    <t>海南</t>
  </si>
  <si>
    <t>重庆</t>
  </si>
  <si>
    <t>垫江县</t>
  </si>
  <si>
    <t>九龙坡区</t>
  </si>
  <si>
    <t>四川</t>
  </si>
  <si>
    <t>广安市</t>
  </si>
  <si>
    <t>贵州</t>
  </si>
  <si>
    <t>黔东南苗族侗族自治州</t>
  </si>
  <si>
    <t>毕节市</t>
  </si>
  <si>
    <t>云南</t>
  </si>
  <si>
    <t>红河哈尼族彝族自治州</t>
  </si>
  <si>
    <t>西藏</t>
  </si>
  <si>
    <t>陕西</t>
  </si>
  <si>
    <t>延安市</t>
  </si>
  <si>
    <t>甘肃</t>
  </si>
  <si>
    <t>白银市</t>
  </si>
  <si>
    <t>兰州市</t>
  </si>
  <si>
    <t>青海</t>
  </si>
  <si>
    <t>西宁市</t>
  </si>
  <si>
    <t>宁夏</t>
  </si>
  <si>
    <t>中卫市</t>
  </si>
  <si>
    <t>新疆</t>
  </si>
  <si>
    <t>乌鲁木齐市</t>
  </si>
  <si>
    <t>兵团</t>
  </si>
  <si>
    <t>第八师石河子市</t>
  </si>
  <si>
    <t>县域养老服务体系创新试点经费测算情况表</t>
  </si>
  <si>
    <t>序号</t>
  </si>
  <si>
    <t>区划编号</t>
  </si>
  <si>
    <t>地区</t>
  </si>
  <si>
    <t>省市
（地区）</t>
  </si>
  <si>
    <t>地级市</t>
  </si>
  <si>
    <t>试点市县</t>
  </si>
  <si>
    <t>县域60周岁及以上老年人数量（万人，权重50%）</t>
  </si>
  <si>
    <t>标准化系数A</t>
  </si>
  <si>
    <t>养老机构
床位数（张，权重50%）</t>
  </si>
  <si>
    <t>标准化系数B</t>
  </si>
  <si>
    <t>测算基数
（标准化系数A*50%+标准化系数B*50%）</t>
  </si>
  <si>
    <t>分配资金
（单位：万元）</t>
  </si>
  <si>
    <t>中部</t>
  </si>
  <si>
    <t>黑龙江省</t>
  </si>
  <si>
    <t>拟计划在18个区、县（市）全覆盖开展。
    分别为：（道里区、南岗区、道外区、香坊区、松北区、平房区、呼兰区、阿城区、双城区、依兰县、方正县、宾县、巴彦县、木兰县、通河县、延寿县、尚志市、五常市）</t>
  </si>
  <si>
    <t>东部</t>
  </si>
  <si>
    <t>山东省</t>
  </si>
  <si>
    <t>奎文区、青州市、高密市、临朐县、昌乐县、诸城市、寿光市、安丘市、昌邑市、潍城区、坊子区、寒亭区</t>
  </si>
  <si>
    <t>湖北省</t>
  </si>
  <si>
    <t>全市16个区（含4个功能区）</t>
  </si>
  <si>
    <t>吉林省</t>
  </si>
  <si>
    <t>朝阳区、南关区、宽城区、二道区、绿园区、双阳区、九台区、净月区、经开区、长春新区、汽开区、莲花山、德惠市、榆树市、农安县、公主岭市</t>
  </si>
  <si>
    <t>宜昌市、宜都市、枝江市、当阳市、远安县、兴山县、秭归县、长阳自
治县、五峰自治县、夷陵区、西陵区、伍家岗区、点军区、猇亭区、高新区</t>
  </si>
  <si>
    <t>江苏省</t>
  </si>
  <si>
    <t>姑苏区、相城区、高新区、吴江区、吴中区、工业园区、张家港市、常熟市、昆山市、太仓市</t>
  </si>
  <si>
    <t>河南省</t>
  </si>
  <si>
    <t>全覆盖</t>
  </si>
  <si>
    <t>河北省</t>
  </si>
  <si>
    <t>全域</t>
  </si>
  <si>
    <t>浙江省</t>
  </si>
  <si>
    <t>海曙区、江北区、镇海区、北仑区、鄞州区、奉化
区、余姚市、慈溪市、宁海县、象山县、前湾新区、高新区</t>
  </si>
  <si>
    <t>梁溪区、锡山区、惠山区、滨湖区、新吴区、江阴市、宜兴市</t>
  </si>
  <si>
    <t>湖南省</t>
  </si>
  <si>
    <t>岳阳楼区（含南湖新区）、君山区、汨罗市、湘阴县、平江县、临湘市</t>
  </si>
  <si>
    <t>西部</t>
  </si>
  <si>
    <t>贵州省</t>
  </si>
  <si>
    <t>七星关区、大方县、黔西市、金沙县、织金县、纳雍县、威宁自治县、赫章县、百里杜鹃管理区</t>
  </si>
  <si>
    <t>广东省</t>
  </si>
  <si>
    <t xml:space="preserve">蓬江区、江海区、新会区、台山市、开平市、鹤山市、恩平市
</t>
  </si>
  <si>
    <t>四川省</t>
  </si>
  <si>
    <t>全市开展</t>
  </si>
  <si>
    <t>甘肃省</t>
  </si>
  <si>
    <t>安宁区、红古区、永登县、榆中县、皋兰县</t>
  </si>
  <si>
    <t>安徽省</t>
  </si>
  <si>
    <t>无为市、南陵县、镜湖区、鸠江区、弋江区、湾沚区、繁昌区、经开区</t>
  </si>
  <si>
    <t>云南省</t>
  </si>
  <si>
    <t>所有县市</t>
  </si>
  <si>
    <t>凯里市、黄平县、施秉县、三穗县、镇远县、岑巩县、天柱县、锦屏县
、剑河县、台江县、黎平县、榕江县、从江县、雷山县、麻江县、丹寨县</t>
  </si>
  <si>
    <t>辽宁省</t>
  </si>
  <si>
    <t>泰山区、新泰市、肥城市</t>
  </si>
  <si>
    <t>内蒙古自治区</t>
  </si>
  <si>
    <t>新城区、回民区、玉泉区、赛罕区、土左
旗、托县、和林县、清水河县、武川县</t>
  </si>
  <si>
    <t>全域（湘潭县、湘乡市、韶山市、雨湖区、岳塘区）</t>
  </si>
  <si>
    <t>山西省</t>
  </si>
  <si>
    <t>晋城市全市域</t>
  </si>
  <si>
    <t>广西壮族自治区</t>
  </si>
  <si>
    <t>全市覆盖</t>
  </si>
  <si>
    <t>陕西省</t>
  </si>
  <si>
    <t>全域开展</t>
  </si>
  <si>
    <t>新疆维吾尔自治区</t>
  </si>
  <si>
    <t>水磨沟区、沙依巴克区、高新区（新市区）</t>
  </si>
  <si>
    <t>青海省</t>
  </si>
  <si>
    <t>大通县、城北区、城西区、
城东区、城中区、湟中区、湟源县</t>
  </si>
  <si>
    <t>德城区、武城县、夏津县、临邑县</t>
  </si>
  <si>
    <t>定海区、普陀区、岱山县、嵊泗县</t>
  </si>
  <si>
    <t>全市（会宁县、靖远县、景泰县、白银区、平川区）</t>
  </si>
  <si>
    <t>重庆市</t>
  </si>
  <si>
    <t>上海市</t>
  </si>
  <si>
    <t>天津市</t>
  </si>
  <si>
    <t>江西省</t>
  </si>
  <si>
    <t>分宜县、渝水区（含高新区、仙女湖区）</t>
  </si>
  <si>
    <t>北京市</t>
  </si>
  <si>
    <t>新疆生产建设兵团</t>
  </si>
  <si>
    <t>石河子市东城街道、石河子市红山街道、石河子市老街街道、石河子市石河子镇、石河子市向阳街道、石河子市新城街道、石河子市121团、石河子市133团、石河子市134团、石河子市136团、石河子市141团、石河子市142团、石河子市143团、石河子市144团、石河子总场、石河子市147团、石河子市148团、石河子市149团、石河子市150团、石河子市152团</t>
  </si>
  <si>
    <t>宁夏回族自治区</t>
  </si>
  <si>
    <t>沙坡头区、中宁县、海原县</t>
  </si>
  <si>
    <t>注：根据试点地区60周岁及以上老年人数量分档补助。60周岁及以上老年人数量在50万以下的地区，补助2000万元；60周岁及以上老年人数量在50万-100万的地区，补助3000万元；60周岁及以上老年人数量在100万-200万的地区，补助4000万元；60周岁及以上老年人数量在200万以上的地区，补助5000万元。</t>
  </si>
  <si>
    <t>老年助餐方向测算表</t>
  </si>
  <si>
    <t>地 区</t>
  </si>
  <si>
    <t>所属区域</t>
  </si>
  <si>
    <t>60周岁及以上老年人数</t>
  </si>
  <si>
    <t>低收入老年人数</t>
  </si>
  <si>
    <t>人口相关因素加权</t>
  </si>
  <si>
    <t>社区老年助餐服务设施数量</t>
  </si>
  <si>
    <t>设施相关因素加权</t>
  </si>
  <si>
    <t>人口与设施相关因素综合加权</t>
  </si>
  <si>
    <t>财政困难程度系数</t>
  </si>
  <si>
    <t>2026年5月绩效情况</t>
  </si>
  <si>
    <t>绩效因素调整</t>
  </si>
  <si>
    <t>分配系数</t>
  </si>
  <si>
    <t>某省拨付资金数（万元）</t>
  </si>
  <si>
    <t>预计支持数量</t>
  </si>
  <si>
    <t>城市老年人数</t>
  </si>
  <si>
    <t>标准化系数</t>
  </si>
  <si>
    <t>农村老年人数</t>
  </si>
  <si>
    <t>城市低收入老年人数</t>
  </si>
  <si>
    <t>农村低收入老年人数</t>
  </si>
  <si>
    <t>城市社区老年助餐服务设施数</t>
  </si>
  <si>
    <t>因素调整</t>
  </si>
  <si>
    <t>农村社区老年助餐服务设施数</t>
  </si>
  <si>
    <t>原始系数</t>
  </si>
  <si>
    <t>权重</t>
  </si>
  <si>
    <t>栏次</t>
  </si>
  <si>
    <t>9=(2*20%+4*30%+6*20%+8*30%)*60%</t>
  </si>
  <si>
    <t>16=(12*40%+15*60%)*40%</t>
  </si>
  <si>
    <t>17=9+16</t>
  </si>
  <si>
    <t>22=17*21</t>
  </si>
  <si>
    <t>合 计</t>
  </si>
  <si>
    <t>备注 ：
1.“60岁及以上人口”数据来源于第七次人口普查，数据截至2020年，来源于国家统计局官网（其中兵团数据由当地财政局提供）。
2.低收入老年人数用“城乡居民最低生活保障老年人口数”替代。“最低生活保障老年人数”来源于《2025中国民政统计年鉴》，数据截至2024年底。
3.社区老年助餐服务设施数量用“社区养老服务机构和设施数”替代。“社区养老服务机构和设施数”来源于《2025中国民政统计年鉴》，数据截至2024年底。
4.“财政困难系数”为预算司提供的2024年数据。
5.绩效情况来源于民政部全国养老服务信息系统，数据截至2026年5月底。
6.经向民政部了解，计划单列市绩效情况未单独统计，相关绩效系数参照全省情况。
7.计划单列市城乡老年人口数根据全省城乡老年人口比例划分。
8.由于深圳、兵团无农村社区老年助餐服务设施数，因此未对其农村社区老年助餐服务设施数进行因素调整。</t>
  </si>
  <si>
    <t>省份</t>
  </si>
  <si>
    <t>拟开展项目工作的县区</t>
  </si>
  <si>
    <t>60岁及以上老年人口数（万人）</t>
  </si>
  <si>
    <t>养老机构床位数（张）</t>
  </si>
  <si>
    <t xml:space="preserve">    拟计划在18个区、县（市）全覆盖开展。
    分别为：（道里区、南岗区、道外区、香坊区、松北区、平房区、呼兰区、阿城区、双城区、依兰县、方正县、宾县、巴彦县、木兰县、通河县、延寿县、尚志市、五常市）</t>
  </si>
  <si>
    <t>城市60岁及以上人口</t>
  </si>
  <si>
    <t>农村60岁及以上人口</t>
  </si>
  <si>
    <t>城市最低生活保障老年人数</t>
  </si>
  <si>
    <t>农村最低生活保障老年人数</t>
  </si>
  <si>
    <t>城市社区养老服务机构和设施数</t>
  </si>
  <si>
    <t>农村社区养老服务机构和设施数</t>
  </si>
  <si>
    <t>财政困难系数</t>
  </si>
  <si>
    <t>人口数</t>
  </si>
  <si>
    <t>分档金额</t>
  </si>
  <si>
    <t>2025年财政困难程度系数</t>
  </si>
  <si>
    <t>困难程度系数</t>
  </si>
  <si>
    <t>权重/合计</t>
  </si>
  <si>
    <t>内蒙</t>
  </si>
  <si>
    <t>辽宁</t>
  </si>
  <si>
    <t>浙江</t>
  </si>
  <si>
    <t>福建</t>
  </si>
  <si>
    <t>山东</t>
  </si>
  <si>
    <t>广东</t>
  </si>
</sst>
</file>

<file path=xl/styles.xml><?xml version="1.0" encoding="utf-8"?>
<styleSheet xmlns="http://schemas.openxmlformats.org/spreadsheetml/2006/main">
  <numFmts count="11">
    <numFmt numFmtId="176" formatCode="0.0_ "/>
    <numFmt numFmtId="177" formatCode="0_);[Red]\(0\)"/>
    <numFmt numFmtId="178" formatCode="0.00_);[Red]\(0.00\)"/>
    <numFmt numFmtId="179" formatCode="0.00_ "/>
    <numFmt numFmtId="180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181" formatCode="0.0000_ "/>
    <numFmt numFmtId="42" formatCode="_ &quot;￥&quot;* #,##0_ ;_ &quot;￥&quot;* \-#,##0_ ;_ &quot;￥&quot;* &quot;-&quot;_ ;_ @_ "/>
    <numFmt numFmtId="41" formatCode="_ * #,##0_ ;_ * \-#,##0_ ;_ * &quot;-&quot;_ ;_ @_ "/>
    <numFmt numFmtId="182" formatCode="0.000000_ "/>
  </numFmts>
  <fonts count="5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方正姚体"/>
      <charset val="0"/>
    </font>
    <font>
      <sz val="10"/>
      <name val="方正姚体"/>
      <charset val="0"/>
    </font>
    <font>
      <sz val="11"/>
      <name val="方正隶变简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 Unicode MS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name val="方正仿宋_GBK"/>
      <family val="4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36"/>
      <name val="方正小标宋简体"/>
      <charset val="0"/>
    </font>
    <font>
      <b/>
      <sz val="14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sz val="16"/>
      <name val="方正小标宋简体"/>
      <charset val="0"/>
    </font>
    <font>
      <sz val="16"/>
      <name val="仿宋_GB2312"/>
      <charset val="134"/>
    </font>
    <font>
      <sz val="11"/>
      <color theme="1"/>
      <name val="宋体"/>
      <charset val="134"/>
    </font>
    <font>
      <sz val="36"/>
      <color rgb="FFFF0000"/>
      <name val="方正小标宋简体"/>
      <charset val="0"/>
    </font>
    <font>
      <b/>
      <sz val="11"/>
      <name val="宋体"/>
      <charset val="134"/>
    </font>
    <font>
      <b/>
      <sz val="14"/>
      <color rgb="FFFF0000"/>
      <name val="宋体"/>
      <charset val="134"/>
    </font>
    <font>
      <sz val="16"/>
      <color rgb="FFFF0000"/>
      <name val="仿宋_GB2312"/>
      <charset val="134"/>
    </font>
    <font>
      <sz val="18"/>
      <color indexed="8"/>
      <name val="方正小标宋简体"/>
      <charset val="0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b/>
      <sz val="26"/>
      <color indexed="8"/>
      <name val="宋体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name val="宋体"/>
      <charset val="134"/>
    </font>
    <font>
      <sz val="9"/>
      <color indexed="8"/>
      <name val="仿宋_GB2312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5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/>
    <xf numFmtId="0" fontId="41" fillId="3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8" fillId="0" borderId="8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3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0" fontId="51" fillId="0" borderId="13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4" fillId="16" borderId="10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0" borderId="0"/>
    <xf numFmtId="0" fontId="41" fillId="32" borderId="0" applyNumberFormat="false" applyBorder="false" applyAlignment="false" applyProtection="false">
      <alignment vertical="center"/>
    </xf>
    <xf numFmtId="0" fontId="43" fillId="15" borderId="10" applyNumberFormat="false" applyAlignment="false" applyProtection="false">
      <alignment vertical="center"/>
    </xf>
    <xf numFmtId="0" fontId="48" fillId="16" borderId="11" applyNumberFormat="false" applyAlignment="false" applyProtection="false">
      <alignment vertical="center"/>
    </xf>
    <xf numFmtId="0" fontId="49" fillId="24" borderId="12" applyNumberFormat="false" applyAlignment="false" applyProtection="false">
      <alignment vertical="center"/>
    </xf>
    <xf numFmtId="0" fontId="40" fillId="0" borderId="7" applyNumberFormat="false" applyFill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1" fillId="12" borderId="0" applyNumberFormat="false" applyBorder="false" applyAlignment="false" applyProtection="false">
      <alignment vertical="center"/>
    </xf>
    <xf numFmtId="0" fontId="42" fillId="14" borderId="9" applyNumberFormat="false" applyFon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3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6" fillId="20" borderId="0" applyNumberFormat="false" applyBorder="false" applyAlignment="false" applyProtection="false">
      <alignment vertical="center"/>
    </xf>
    <xf numFmtId="0" fontId="41" fillId="1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1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/>
    </xf>
    <xf numFmtId="2" fontId="6" fillId="0" borderId="1" xfId="0" applyNumberFormat="true" applyFont="true" applyFill="true" applyBorder="true" applyAlignment="true">
      <alignment vertical="center"/>
    </xf>
    <xf numFmtId="2" fontId="4" fillId="0" borderId="3" xfId="0" applyNumberFormat="true" applyFont="true" applyFill="true" applyBorder="true" applyAlignment="true">
      <alignment horizontal="distributed" vertical="center"/>
    </xf>
    <xf numFmtId="2" fontId="7" fillId="0" borderId="2" xfId="0" applyNumberFormat="true" applyFont="true" applyFill="true" applyBorder="true" applyAlignment="true">
      <alignment vertical="center"/>
    </xf>
    <xf numFmtId="2" fontId="7" fillId="0" borderId="3" xfId="0" applyNumberFormat="true" applyFont="true" applyFill="true" applyBorder="true" applyAlignment="true">
      <alignment vertical="center"/>
    </xf>
    <xf numFmtId="2" fontId="4" fillId="0" borderId="4" xfId="0" applyNumberFormat="true" applyFont="true" applyFill="true" applyBorder="true" applyAlignment="true">
      <alignment horizontal="distributed" vertical="center"/>
    </xf>
    <xf numFmtId="2" fontId="7" fillId="0" borderId="4" xfId="0" applyNumberFormat="true" applyFont="true" applyFill="true" applyBorder="true" applyAlignment="true">
      <alignment vertical="center"/>
    </xf>
    <xf numFmtId="2" fontId="4" fillId="0" borderId="2" xfId="0" applyNumberFormat="true" applyFont="true" applyFill="true" applyBorder="true" applyAlignment="true">
      <alignment horizontal="distributed" vertical="center"/>
    </xf>
    <xf numFmtId="180" fontId="8" fillId="0" borderId="2" xfId="2" applyNumberFormat="true" applyFont="true" applyBorder="true" applyAlignment="true">
      <alignment horizontal="center" vertical="center" wrapText="true"/>
    </xf>
    <xf numFmtId="180" fontId="9" fillId="0" borderId="1" xfId="2" applyNumberFormat="true" applyFont="true" applyBorder="true" applyAlignment="true">
      <alignment horizontal="center" vertical="center"/>
    </xf>
    <xf numFmtId="180" fontId="6" fillId="0" borderId="1" xfId="2" applyNumberFormat="true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0" fontId="10" fillId="0" borderId="5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left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3" fillId="0" borderId="0" xfId="0" applyFont="true" applyAlignment="true">
      <alignment horizontal="justify" vertical="center"/>
    </xf>
    <xf numFmtId="0" fontId="13" fillId="0" borderId="2" xfId="0" applyFont="true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 wrapText="true"/>
    </xf>
    <xf numFmtId="0" fontId="13" fillId="0" borderId="4" xfId="0" applyFont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3" fillId="0" borderId="0" xfId="0" applyFont="true" applyAlignment="true">
      <alignment horizontal="center" vertical="center"/>
    </xf>
    <xf numFmtId="0" fontId="13" fillId="0" borderId="6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179" fontId="13" fillId="0" borderId="1" xfId="0" applyNumberFormat="true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14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>
      <alignment vertical="center"/>
    </xf>
    <xf numFmtId="180" fontId="16" fillId="0" borderId="0" xfId="2" applyNumberFormat="true" applyFont="true" applyAlignment="true">
      <alignment horizontal="center" vertical="center"/>
    </xf>
    <xf numFmtId="180" fontId="17" fillId="0" borderId="1" xfId="2" applyNumberFormat="true" applyFont="true" applyBorder="true" applyAlignment="true">
      <alignment horizontal="center" vertical="center" wrapText="true"/>
    </xf>
    <xf numFmtId="180" fontId="17" fillId="0" borderId="1" xfId="2" applyNumberFormat="true" applyFont="true" applyBorder="true" applyAlignment="true">
      <alignment vertical="center" wrapText="true"/>
    </xf>
    <xf numFmtId="9" fontId="17" fillId="0" borderId="1" xfId="14" applyFont="true" applyFill="true" applyBorder="true" applyAlignment="true" applyProtection="true">
      <alignment horizontal="center" vertical="center" wrapText="true"/>
    </xf>
    <xf numFmtId="180" fontId="18" fillId="0" borderId="1" xfId="2" applyNumberFormat="true" applyFont="true" applyBorder="true" applyAlignment="true">
      <alignment horizontal="center" vertical="center" wrapText="true"/>
    </xf>
    <xf numFmtId="180" fontId="17" fillId="0" borderId="1" xfId="2" applyNumberFormat="true" applyFont="true" applyBorder="true" applyAlignment="true">
      <alignment horizontal="center" vertical="center"/>
    </xf>
    <xf numFmtId="0" fontId="17" fillId="0" borderId="1" xfId="2" applyFont="true" applyBorder="true" applyAlignment="true">
      <alignment horizontal="center" vertical="center"/>
    </xf>
    <xf numFmtId="0" fontId="19" fillId="0" borderId="1" xfId="0" applyFont="true" applyFill="true" applyBorder="true" applyAlignment="true">
      <alignment vertical="center"/>
    </xf>
    <xf numFmtId="180" fontId="20" fillId="0" borderId="1" xfId="2" applyNumberFormat="true" applyFont="true" applyBorder="true" applyAlignment="true">
      <alignment horizontal="center" vertical="center"/>
    </xf>
    <xf numFmtId="180" fontId="6" fillId="0" borderId="1" xfId="0" applyNumberFormat="true" applyFont="true" applyFill="true" applyBorder="true" applyAlignment="true">
      <alignment horizontal="right" vertical="center" wrapText="true" shrinkToFit="true"/>
    </xf>
    <xf numFmtId="182" fontId="6" fillId="0" borderId="1" xfId="0" applyNumberFormat="true" applyFont="true" applyFill="true" applyBorder="true" applyAlignment="true">
      <alignment horizontal="right" vertical="center" wrapText="true" shrinkToFit="true"/>
    </xf>
    <xf numFmtId="180" fontId="20" fillId="0" borderId="0" xfId="2" applyNumberFormat="true" applyFont="true" applyAlignment="true">
      <alignment horizontal="left" vertical="center" wrapText="true"/>
    </xf>
    <xf numFmtId="180" fontId="8" fillId="0" borderId="0" xfId="2" applyNumberFormat="true" applyFont="true" applyAlignment="true">
      <alignment horizontal="left" vertical="center" wrapText="true"/>
    </xf>
    <xf numFmtId="180" fontId="21" fillId="0" borderId="0" xfId="2" applyNumberFormat="true" applyFont="true" applyAlignment="true">
      <alignment horizontal="left" vertical="top" wrapText="true"/>
    </xf>
    <xf numFmtId="180" fontId="22" fillId="0" borderId="0" xfId="2" applyNumberFormat="true" applyFont="true" applyAlignment="true">
      <alignment horizontal="left" vertical="top" wrapText="true"/>
    </xf>
    <xf numFmtId="180" fontId="20" fillId="0" borderId="1" xfId="2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vertical="center"/>
    </xf>
    <xf numFmtId="10" fontId="10" fillId="0" borderId="1" xfId="14" applyNumberFormat="true" applyFont="true" applyFill="true" applyBorder="true">
      <alignment vertical="center"/>
    </xf>
    <xf numFmtId="178" fontId="10" fillId="0" borderId="1" xfId="14" applyNumberFormat="true" applyFont="true" applyFill="true" applyBorder="true">
      <alignment vertical="center"/>
    </xf>
    <xf numFmtId="180" fontId="17" fillId="0" borderId="0" xfId="2" applyNumberFormat="true" applyFont="true" applyAlignment="true">
      <alignment horizontal="left" vertical="center" wrapText="true"/>
    </xf>
    <xf numFmtId="180" fontId="24" fillId="0" borderId="0" xfId="2" applyNumberFormat="true" applyFont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vertical="center"/>
    </xf>
    <xf numFmtId="180" fontId="26" fillId="0" borderId="0" xfId="2" applyNumberFormat="true" applyFont="true" applyAlignment="true">
      <alignment horizontal="center" vertical="center"/>
    </xf>
    <xf numFmtId="180" fontId="27" fillId="0" borderId="0" xfId="2" applyNumberFormat="true" applyFont="true" applyAlignment="true">
      <alignment horizontal="left" vertical="top" wrapText="true"/>
    </xf>
    <xf numFmtId="0" fontId="10" fillId="0" borderId="0" xfId="0" applyFont="true" applyFill="true" applyBorder="true" applyAlignment="true">
      <alignment horizontal="center" vertical="center"/>
    </xf>
    <xf numFmtId="0" fontId="28" fillId="0" borderId="0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177" fontId="10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12" fillId="0" borderId="1" xfId="51" applyFont="true" applyFill="true" applyBorder="true" applyAlignment="true">
      <alignment horizontal="center" vertical="center" wrapText="true"/>
    </xf>
    <xf numFmtId="176" fontId="12" fillId="0" borderId="1" xfId="51" applyNumberFormat="true" applyFont="true" applyFill="true" applyBorder="true" applyAlignment="true">
      <alignment horizontal="center" vertical="center" wrapText="true"/>
    </xf>
    <xf numFmtId="181" fontId="12" fillId="0" borderId="1" xfId="51" applyNumberFormat="true" applyFont="true" applyFill="true" applyBorder="true" applyAlignment="true">
      <alignment horizontal="center" vertical="center" wrapText="true"/>
    </xf>
    <xf numFmtId="179" fontId="6" fillId="0" borderId="1" xfId="0" applyNumberFormat="true" applyFont="true" applyFill="true" applyBorder="true" applyAlignment="true">
      <alignment horizontal="center" vertical="center"/>
    </xf>
    <xf numFmtId="181" fontId="6" fillId="0" borderId="1" xfId="0" applyNumberFormat="true" applyFont="true" applyFill="true" applyBorder="true" applyAlignment="true">
      <alignment horizontal="center" vertical="center"/>
    </xf>
    <xf numFmtId="180" fontId="12" fillId="0" borderId="1" xfId="51" applyNumberFormat="true" applyFont="true" applyFill="true" applyBorder="true" applyAlignment="true">
      <alignment horizontal="center" vertical="center" wrapText="true"/>
    </xf>
    <xf numFmtId="181" fontId="10" fillId="0" borderId="1" xfId="0" applyNumberFormat="true" applyFont="true" applyFill="true" applyBorder="true" applyAlignment="true">
      <alignment horizontal="center" vertical="center"/>
    </xf>
    <xf numFmtId="180" fontId="10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0" fillId="0" borderId="0" xfId="1" applyFont="true" applyFill="true" applyAlignment="true">
      <alignment horizontal="left" vertical="center"/>
    </xf>
    <xf numFmtId="0" fontId="30" fillId="0" borderId="0" xfId="5" applyFont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31" fillId="0" borderId="0" xfId="5" applyFont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0" fontId="32" fillId="0" borderId="0" xfId="5" applyFont="true" applyBorder="true" applyAlignment="true">
      <alignment horizontal="center" vertical="center" wrapText="true"/>
    </xf>
    <xf numFmtId="0" fontId="33" fillId="0" borderId="1" xfId="5" applyFont="true" applyBorder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/>
    </xf>
    <xf numFmtId="0" fontId="33" fillId="0" borderId="1" xfId="5" applyFont="true" applyFill="true" applyBorder="true" applyAlignment="true">
      <alignment horizontal="center" vertical="center" wrapText="true"/>
    </xf>
    <xf numFmtId="0" fontId="19" fillId="0" borderId="1" xfId="32" applyFont="true" applyBorder="true" applyAlignment="true">
      <alignment horizontal="center" vertical="center" wrapText="true"/>
    </xf>
    <xf numFmtId="180" fontId="35" fillId="0" borderId="1" xfId="32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80" fontId="6" fillId="0" borderId="1" xfId="39" applyNumberFormat="true" applyFont="true" applyBorder="true" applyAlignment="true">
      <alignment horizontal="center" vertical="center" wrapText="true" shrinkToFit="true"/>
    </xf>
    <xf numFmtId="0" fontId="32" fillId="0" borderId="0" xfId="5" applyFont="true" applyAlignment="true">
      <alignment horizontal="center" vertical="center" wrapText="true"/>
    </xf>
    <xf numFmtId="0" fontId="36" fillId="0" borderId="0" xfId="5" applyFont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 wrapText="true"/>
    </xf>
    <xf numFmtId="177" fontId="35" fillId="0" borderId="1" xfId="32" applyNumberFormat="true" applyFont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80" fontId="17" fillId="0" borderId="1" xfId="2" applyNumberFormat="true" applyFont="true" applyBorder="true" applyAlignment="true" quotePrefix="true">
      <alignment horizontal="center" vertical="center"/>
    </xf>
  </cellXfs>
  <cellStyles count="55">
    <cellStyle name="常规" xfId="0" builtinId="0"/>
    <cellStyle name="常规 2 4" xfId="1"/>
    <cellStyle name="常规_Sheet1" xfId="2"/>
    <cellStyle name="40% - 强调文字颜色 6" xfId="3" builtinId="51"/>
    <cellStyle name="20% - 强调文字颜色 6" xfId="4" builtinId="50"/>
    <cellStyle name="?鹎%U龡&amp;H齲_x0001_C铣_x0014__x0007__x0001__x0001_" xfId="5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?鹎%U龡&amp;H齲_x0001_C铣_x0014__x0007__x0001__x0001_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true"/>
  </sheetPr>
  <dimension ref="A1:Q201"/>
  <sheetViews>
    <sheetView tabSelected="1" view="pageBreakPreview" zoomScaleNormal="100" zoomScaleSheetLayoutView="100" topLeftCell="A33" workbookViewId="0">
      <selection activeCell="B53" sqref="B53"/>
    </sheetView>
  </sheetViews>
  <sheetFormatPr defaultColWidth="9" defaultRowHeight="15.75"/>
  <cols>
    <col min="1" max="3" width="17.875" customWidth="true"/>
    <col min="4" max="5" width="26.875" customWidth="true"/>
    <col min="6" max="6" width="17.875" customWidth="true"/>
  </cols>
  <sheetData>
    <row r="1" s="94" customFormat="true" ht="18" spans="1:17">
      <c r="A1" s="95" t="s">
        <v>0</v>
      </c>
      <c r="B1" s="96"/>
      <c r="C1" s="97"/>
      <c r="D1" s="98"/>
      <c r="E1" s="9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="94" customFormat="true" ht="39" customHeight="true" spans="1:17">
      <c r="A2" s="99" t="s">
        <v>1</v>
      </c>
      <c r="B2" s="99"/>
      <c r="C2" s="99"/>
      <c r="D2" s="99"/>
      <c r="E2" s="99"/>
      <c r="F2" s="99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="94" customFormat="true" ht="12" customHeight="true" spans="1:17">
      <c r="A3" s="100"/>
      <c r="B3" s="100"/>
      <c r="D3" s="100"/>
      <c r="E3" s="108"/>
      <c r="F3" s="109" t="s">
        <v>2</v>
      </c>
      <c r="H3" s="97"/>
      <c r="I3" s="97"/>
      <c r="J3" s="97"/>
      <c r="K3" s="97"/>
      <c r="L3" s="97"/>
      <c r="M3" s="97"/>
      <c r="N3" s="97"/>
      <c r="O3" s="97"/>
      <c r="P3" s="97"/>
      <c r="Q3" s="97"/>
    </row>
    <row r="4" s="94" customFormat="true" ht="13.5" spans="1:17">
      <c r="A4" s="101" t="s">
        <v>3</v>
      </c>
      <c r="B4" s="101" t="s">
        <v>4</v>
      </c>
      <c r="C4" s="102" t="s">
        <v>5</v>
      </c>
      <c r="D4" s="101" t="s">
        <v>6</v>
      </c>
      <c r="E4" s="101"/>
      <c r="F4" s="101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="94" customFormat="true" ht="43" customHeight="true" spans="1:17">
      <c r="A5" s="103"/>
      <c r="B5" s="103"/>
      <c r="C5" s="102"/>
      <c r="D5" s="101" t="s">
        <v>7</v>
      </c>
      <c r="E5" s="101" t="s">
        <v>8</v>
      </c>
      <c r="F5" s="110" t="s">
        <v>9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="49" customFormat="true" ht="20" customHeight="true" spans="1:6">
      <c r="A6" s="104" t="s">
        <v>10</v>
      </c>
      <c r="B6" s="105">
        <v>150000</v>
      </c>
      <c r="C6" s="105">
        <v>20000</v>
      </c>
      <c r="D6" s="105" t="s">
        <v>11</v>
      </c>
      <c r="E6" s="111">
        <v>130000</v>
      </c>
      <c r="F6" s="111">
        <v>130000</v>
      </c>
    </row>
    <row r="7" s="49" customFormat="true" ht="20" customHeight="true" spans="1:6">
      <c r="A7" s="84" t="s">
        <v>12</v>
      </c>
      <c r="B7" s="84">
        <v>2303</v>
      </c>
      <c r="C7" s="84">
        <v>303</v>
      </c>
      <c r="D7" s="84" t="s">
        <v>13</v>
      </c>
      <c r="E7" s="112">
        <v>2000</v>
      </c>
      <c r="F7" s="112">
        <v>2000</v>
      </c>
    </row>
    <row r="8" s="49" customFormat="true" ht="20" customHeight="true" spans="1:6">
      <c r="A8" s="84" t="s">
        <v>14</v>
      </c>
      <c r="B8" s="84">
        <v>2284</v>
      </c>
      <c r="C8" s="84">
        <v>284</v>
      </c>
      <c r="D8" s="84" t="s">
        <v>15</v>
      </c>
      <c r="E8" s="112">
        <v>2000</v>
      </c>
      <c r="F8" s="112">
        <v>2000</v>
      </c>
    </row>
    <row r="9" s="49" customFormat="true" ht="20" customHeight="true" spans="1:6">
      <c r="A9" s="106" t="s">
        <v>16</v>
      </c>
      <c r="B9" s="106">
        <v>9955</v>
      </c>
      <c r="C9" s="106">
        <v>955</v>
      </c>
      <c r="D9" s="84" t="s">
        <v>17</v>
      </c>
      <c r="E9" s="112">
        <v>5000</v>
      </c>
      <c r="F9" s="113">
        <v>9000</v>
      </c>
    </row>
    <row r="10" s="49" customFormat="true" ht="20" customHeight="true" spans="1:6">
      <c r="A10" s="106"/>
      <c r="B10" s="106"/>
      <c r="C10" s="106"/>
      <c r="D10" s="84" t="s">
        <v>18</v>
      </c>
      <c r="E10" s="112">
        <v>4000</v>
      </c>
      <c r="F10" s="113"/>
    </row>
    <row r="11" s="49" customFormat="true" ht="20" customHeight="true" spans="1:6">
      <c r="A11" s="84" t="s">
        <v>19</v>
      </c>
      <c r="B11" s="84">
        <v>3507</v>
      </c>
      <c r="C11" s="84">
        <v>507</v>
      </c>
      <c r="D11" s="84" t="s">
        <v>20</v>
      </c>
      <c r="E11" s="112">
        <v>3000</v>
      </c>
      <c r="F11" s="112">
        <v>3000</v>
      </c>
    </row>
    <row r="12" s="49" customFormat="true" ht="20" customHeight="true" spans="1:6">
      <c r="A12" s="84" t="s">
        <v>21</v>
      </c>
      <c r="B12" s="84">
        <v>3757</v>
      </c>
      <c r="C12" s="84">
        <v>757</v>
      </c>
      <c r="D12" s="84" t="s">
        <v>22</v>
      </c>
      <c r="E12" s="112">
        <v>3000</v>
      </c>
      <c r="F12" s="112">
        <v>3000</v>
      </c>
    </row>
    <row r="13" s="49" customFormat="true" ht="20" customHeight="true" spans="1:6">
      <c r="A13" s="84" t="s">
        <v>23</v>
      </c>
      <c r="B13" s="84">
        <v>3567</v>
      </c>
      <c r="C13" s="84">
        <v>567</v>
      </c>
      <c r="D13" s="84" t="s">
        <v>24</v>
      </c>
      <c r="E13" s="112">
        <v>3000</v>
      </c>
      <c r="F13" s="112">
        <v>3000</v>
      </c>
    </row>
    <row r="14" s="49" customFormat="true" ht="20" customHeight="true" spans="1:6">
      <c r="A14" s="84" t="s">
        <v>25</v>
      </c>
      <c r="B14" s="84">
        <v>222</v>
      </c>
      <c r="C14" s="84">
        <v>222</v>
      </c>
      <c r="D14" s="84" t="s">
        <v>11</v>
      </c>
      <c r="E14" s="112" t="s">
        <v>11</v>
      </c>
      <c r="F14" s="112" t="s">
        <v>11</v>
      </c>
    </row>
    <row r="15" s="49" customFormat="true" ht="20" customHeight="true" spans="1:6">
      <c r="A15" s="84" t="s">
        <v>26</v>
      </c>
      <c r="B15" s="84">
        <v>5597</v>
      </c>
      <c r="C15" s="84">
        <v>597</v>
      </c>
      <c r="D15" s="84" t="s">
        <v>27</v>
      </c>
      <c r="E15" s="112">
        <v>5000</v>
      </c>
      <c r="F15" s="112">
        <v>5000</v>
      </c>
    </row>
    <row r="16" s="49" customFormat="true" ht="20" customHeight="true" spans="1:6">
      <c r="A16" s="84" t="s">
        <v>28</v>
      </c>
      <c r="B16" s="84">
        <v>5652</v>
      </c>
      <c r="C16" s="84">
        <v>652</v>
      </c>
      <c r="D16" s="84" t="s">
        <v>29</v>
      </c>
      <c r="E16" s="112">
        <v>5000</v>
      </c>
      <c r="F16" s="112">
        <v>5000</v>
      </c>
    </row>
    <row r="17" s="49" customFormat="true" ht="20" customHeight="true" spans="1:6">
      <c r="A17" s="84" t="s">
        <v>30</v>
      </c>
      <c r="B17" s="84">
        <v>2360</v>
      </c>
      <c r="C17" s="84">
        <v>360</v>
      </c>
      <c r="D17" s="84" t="s">
        <v>31</v>
      </c>
      <c r="E17" s="112">
        <v>2000</v>
      </c>
      <c r="F17" s="112">
        <v>2000</v>
      </c>
    </row>
    <row r="18" s="49" customFormat="true" ht="20" customHeight="true" spans="1:6">
      <c r="A18" s="106" t="s">
        <v>32</v>
      </c>
      <c r="B18" s="106">
        <v>9795</v>
      </c>
      <c r="C18" s="106">
        <v>795</v>
      </c>
      <c r="D18" s="84" t="s">
        <v>33</v>
      </c>
      <c r="E18" s="112">
        <v>5000</v>
      </c>
      <c r="F18" s="113">
        <v>9000</v>
      </c>
    </row>
    <row r="19" s="49" customFormat="true" ht="20" customHeight="true" spans="1:6">
      <c r="A19" s="106"/>
      <c r="B19" s="106"/>
      <c r="C19" s="106"/>
      <c r="D19" s="84" t="s">
        <v>34</v>
      </c>
      <c r="E19" s="112">
        <v>4000</v>
      </c>
      <c r="F19" s="113"/>
    </row>
    <row r="20" s="49" customFormat="true" ht="20" customHeight="true" spans="1:6">
      <c r="A20" s="106" t="s">
        <v>35</v>
      </c>
      <c r="B20" s="106">
        <v>2617</v>
      </c>
      <c r="C20" s="106">
        <v>617</v>
      </c>
      <c r="D20" s="84" t="s">
        <v>36</v>
      </c>
      <c r="E20" s="112">
        <v>2000</v>
      </c>
      <c r="F20" s="113">
        <v>2000</v>
      </c>
    </row>
    <row r="21" s="49" customFormat="true" ht="20" customHeight="true" spans="1:6">
      <c r="A21" s="106" t="s">
        <v>37</v>
      </c>
      <c r="B21" s="106">
        <v>4180</v>
      </c>
      <c r="C21" s="106">
        <v>180</v>
      </c>
      <c r="D21" s="84" t="s">
        <v>38</v>
      </c>
      <c r="E21" s="112">
        <v>4000</v>
      </c>
      <c r="F21" s="113">
        <v>4000</v>
      </c>
    </row>
    <row r="22" s="49" customFormat="true" ht="20" customHeight="true" spans="1:6">
      <c r="A22" s="84" t="s">
        <v>39</v>
      </c>
      <c r="B22" s="84">
        <v>3727</v>
      </c>
      <c r="C22" s="106">
        <v>727</v>
      </c>
      <c r="D22" s="84" t="s">
        <v>40</v>
      </c>
      <c r="E22" s="112">
        <v>3000</v>
      </c>
      <c r="F22" s="112">
        <v>3000</v>
      </c>
    </row>
    <row r="23" s="49" customFormat="true" ht="20" customHeight="true" spans="1:6">
      <c r="A23" s="84" t="s">
        <v>41</v>
      </c>
      <c r="B23" s="84">
        <v>509</v>
      </c>
      <c r="C23" s="106">
        <v>509</v>
      </c>
      <c r="D23" s="84" t="s">
        <v>11</v>
      </c>
      <c r="E23" s="84" t="s">
        <v>11</v>
      </c>
      <c r="F23" s="84" t="s">
        <v>11</v>
      </c>
    </row>
    <row r="24" s="49" customFormat="true" ht="20" customHeight="true" spans="1:6">
      <c r="A24" s="84" t="s">
        <v>42</v>
      </c>
      <c r="B24" s="84">
        <v>184</v>
      </c>
      <c r="C24" s="106">
        <v>184</v>
      </c>
      <c r="D24" s="84" t="s">
        <v>11</v>
      </c>
      <c r="E24" s="84" t="s">
        <v>11</v>
      </c>
      <c r="F24" s="84" t="s">
        <v>11</v>
      </c>
    </row>
    <row r="25" s="49" customFormat="true" ht="20" customHeight="true" spans="1:6">
      <c r="A25" s="84" t="s">
        <v>43</v>
      </c>
      <c r="B25" s="84">
        <v>2737</v>
      </c>
      <c r="C25" s="106">
        <v>737</v>
      </c>
      <c r="D25" s="84" t="s">
        <v>44</v>
      </c>
      <c r="E25" s="112">
        <v>2000</v>
      </c>
      <c r="F25" s="112">
        <v>2000</v>
      </c>
    </row>
    <row r="26" s="49" customFormat="true" ht="20" customHeight="true" spans="1:6">
      <c r="A26" s="106" t="s">
        <v>45</v>
      </c>
      <c r="B26" s="106">
        <v>12188</v>
      </c>
      <c r="C26" s="106">
        <v>1188</v>
      </c>
      <c r="D26" s="84" t="s">
        <v>46</v>
      </c>
      <c r="E26" s="112">
        <v>5000</v>
      </c>
      <c r="F26" s="113">
        <v>11000</v>
      </c>
    </row>
    <row r="27" s="49" customFormat="true" ht="20" customHeight="true" spans="1:6">
      <c r="A27" s="106"/>
      <c r="B27" s="106"/>
      <c r="C27" s="106"/>
      <c r="D27" s="84" t="s">
        <v>47</v>
      </c>
      <c r="E27" s="112">
        <v>2000</v>
      </c>
      <c r="F27" s="113"/>
    </row>
    <row r="28" s="49" customFormat="true" ht="20" customHeight="true" spans="1:6">
      <c r="A28" s="106"/>
      <c r="B28" s="106"/>
      <c r="C28" s="106"/>
      <c r="D28" s="84" t="s">
        <v>48</v>
      </c>
      <c r="E28" s="112">
        <v>4000</v>
      </c>
      <c r="F28" s="113"/>
    </row>
    <row r="29" s="49" customFormat="true" ht="20" customHeight="true" spans="1:6">
      <c r="A29" s="106" t="s">
        <v>49</v>
      </c>
      <c r="B29" s="106">
        <v>242</v>
      </c>
      <c r="C29" s="106">
        <v>242</v>
      </c>
      <c r="D29" s="84" t="s">
        <v>11</v>
      </c>
      <c r="E29" s="84" t="s">
        <v>11</v>
      </c>
      <c r="F29" s="84" t="s">
        <v>11</v>
      </c>
    </row>
    <row r="30" s="49" customFormat="true" ht="20" customHeight="true" spans="1:6">
      <c r="A30" s="106" t="s">
        <v>50</v>
      </c>
      <c r="B30" s="106">
        <v>10009</v>
      </c>
      <c r="C30" s="106">
        <v>1009</v>
      </c>
      <c r="D30" s="84" t="s">
        <v>51</v>
      </c>
      <c r="E30" s="112">
        <v>5000</v>
      </c>
      <c r="F30" s="113">
        <v>9000</v>
      </c>
    </row>
    <row r="31" s="49" customFormat="true" ht="20" customHeight="true" spans="1:6">
      <c r="A31" s="106"/>
      <c r="B31" s="106"/>
      <c r="C31" s="106"/>
      <c r="D31" s="84" t="s">
        <v>52</v>
      </c>
      <c r="E31" s="112">
        <v>4000</v>
      </c>
      <c r="F31" s="113"/>
    </row>
    <row r="32" s="49" customFormat="true" ht="20" customHeight="true" spans="1:6">
      <c r="A32" s="106" t="s">
        <v>53</v>
      </c>
      <c r="B32" s="106">
        <v>9953</v>
      </c>
      <c r="C32" s="106">
        <v>953</v>
      </c>
      <c r="D32" s="84" t="s">
        <v>54</v>
      </c>
      <c r="E32" s="112">
        <v>5000</v>
      </c>
      <c r="F32" s="113">
        <v>9000</v>
      </c>
    </row>
    <row r="33" s="49" customFormat="true" ht="20" customHeight="true" spans="1:6">
      <c r="A33" s="106"/>
      <c r="B33" s="106"/>
      <c r="C33" s="106"/>
      <c r="D33" s="84" t="s">
        <v>55</v>
      </c>
      <c r="E33" s="112">
        <v>4000</v>
      </c>
      <c r="F33" s="113"/>
    </row>
    <row r="34" s="49" customFormat="true" ht="20" customHeight="true" spans="1:6">
      <c r="A34" s="106" t="s">
        <v>56</v>
      </c>
      <c r="B34" s="106">
        <v>7965</v>
      </c>
      <c r="C34" s="106">
        <v>965</v>
      </c>
      <c r="D34" s="84" t="s">
        <v>57</v>
      </c>
      <c r="E34" s="112">
        <v>3000</v>
      </c>
      <c r="F34" s="113">
        <v>7000</v>
      </c>
    </row>
    <row r="35" s="49" customFormat="true" ht="20" customHeight="true" spans="1:6">
      <c r="A35" s="106"/>
      <c r="B35" s="106"/>
      <c r="C35" s="106"/>
      <c r="D35" s="84" t="s">
        <v>58</v>
      </c>
      <c r="E35" s="112">
        <v>4000</v>
      </c>
      <c r="F35" s="113"/>
    </row>
    <row r="36" s="49" customFormat="true" ht="20" customHeight="true" spans="1:6">
      <c r="A36" s="84" t="s">
        <v>59</v>
      </c>
      <c r="B36" s="84">
        <v>4691</v>
      </c>
      <c r="C36" s="84">
        <v>691</v>
      </c>
      <c r="D36" s="84" t="s">
        <v>60</v>
      </c>
      <c r="E36" s="112">
        <v>4000</v>
      </c>
      <c r="F36" s="112">
        <v>4000</v>
      </c>
    </row>
    <row r="37" s="49" customFormat="true" ht="20" customHeight="true" spans="1:6">
      <c r="A37" s="84" t="s">
        <v>61</v>
      </c>
      <c r="B37" s="84">
        <v>75</v>
      </c>
      <c r="C37" s="84">
        <v>75</v>
      </c>
      <c r="D37" s="84" t="s">
        <v>11</v>
      </c>
      <c r="E37" s="84" t="s">
        <v>11</v>
      </c>
      <c r="F37" s="84" t="s">
        <v>11</v>
      </c>
    </row>
    <row r="38" s="49" customFormat="true" ht="20" customHeight="true" spans="1:6">
      <c r="A38" s="84" t="s">
        <v>62</v>
      </c>
      <c r="B38" s="84">
        <v>2626</v>
      </c>
      <c r="C38" s="84">
        <v>626</v>
      </c>
      <c r="D38" s="84" t="s">
        <v>63</v>
      </c>
      <c r="E38" s="112">
        <v>2000</v>
      </c>
      <c r="F38" s="112">
        <v>2000</v>
      </c>
    </row>
    <row r="39" s="49" customFormat="true" ht="20" customHeight="true" spans="1:6">
      <c r="A39" s="84" t="s">
        <v>64</v>
      </c>
      <c r="B39" s="84">
        <v>228</v>
      </c>
      <c r="C39" s="84">
        <v>228</v>
      </c>
      <c r="D39" s="84" t="s">
        <v>11</v>
      </c>
      <c r="E39" s="84" t="s">
        <v>11</v>
      </c>
      <c r="F39" s="84" t="s">
        <v>11</v>
      </c>
    </row>
    <row r="40" s="49" customFormat="true" ht="20" customHeight="true" spans="1:6">
      <c r="A40" s="106" t="s">
        <v>65</v>
      </c>
      <c r="B40" s="106">
        <v>4435</v>
      </c>
      <c r="C40" s="106">
        <v>435</v>
      </c>
      <c r="D40" s="84" t="s">
        <v>66</v>
      </c>
      <c r="E40" s="112">
        <v>2000</v>
      </c>
      <c r="F40" s="113">
        <v>4000</v>
      </c>
    </row>
    <row r="41" s="49" customFormat="true" ht="20" customHeight="true" spans="1:6">
      <c r="A41" s="106"/>
      <c r="B41" s="106"/>
      <c r="C41" s="106"/>
      <c r="D41" s="84" t="s">
        <v>67</v>
      </c>
      <c r="E41" s="112">
        <v>2000</v>
      </c>
      <c r="F41" s="113"/>
    </row>
    <row r="42" s="49" customFormat="true" ht="20" customHeight="true" spans="1:6">
      <c r="A42" s="84" t="s">
        <v>68</v>
      </c>
      <c r="B42" s="84">
        <v>5174</v>
      </c>
      <c r="C42" s="84">
        <v>1174</v>
      </c>
      <c r="D42" s="84" t="s">
        <v>69</v>
      </c>
      <c r="E42" s="112">
        <v>4000</v>
      </c>
      <c r="F42" s="112">
        <v>4000</v>
      </c>
    </row>
    <row r="43" s="49" customFormat="true" ht="20" customHeight="true" spans="1:6">
      <c r="A43" s="106" t="s">
        <v>70</v>
      </c>
      <c r="B43" s="106">
        <v>7545</v>
      </c>
      <c r="C43" s="106">
        <v>545</v>
      </c>
      <c r="D43" s="84" t="s">
        <v>71</v>
      </c>
      <c r="E43" s="112">
        <v>3000</v>
      </c>
      <c r="F43" s="113">
        <v>7000</v>
      </c>
    </row>
    <row r="44" s="49" customFormat="true" ht="20" customHeight="true" spans="1:6">
      <c r="A44" s="106"/>
      <c r="B44" s="106"/>
      <c r="C44" s="106"/>
      <c r="D44" s="84" t="s">
        <v>72</v>
      </c>
      <c r="E44" s="112">
        <v>4000</v>
      </c>
      <c r="F44" s="113"/>
    </row>
    <row r="45" s="49" customFormat="true" ht="20" customHeight="true" spans="1:6">
      <c r="A45" s="84" t="s">
        <v>73</v>
      </c>
      <c r="B45" s="84">
        <v>3677</v>
      </c>
      <c r="C45" s="84">
        <v>677</v>
      </c>
      <c r="D45" s="84" t="s">
        <v>74</v>
      </c>
      <c r="E45" s="112">
        <v>3000</v>
      </c>
      <c r="F45" s="112">
        <v>3000</v>
      </c>
    </row>
    <row r="46" s="49" customFormat="true" ht="20" customHeight="true" spans="1:6">
      <c r="A46" s="84" t="s">
        <v>75</v>
      </c>
      <c r="B46" s="84">
        <v>191</v>
      </c>
      <c r="C46" s="84">
        <v>191</v>
      </c>
      <c r="D46" s="84" t="s">
        <v>11</v>
      </c>
      <c r="E46" s="84" t="s">
        <v>11</v>
      </c>
      <c r="F46" s="84" t="s">
        <v>11</v>
      </c>
    </row>
    <row r="47" s="49" customFormat="true" ht="20" customHeight="true" spans="1:6">
      <c r="A47" s="84" t="s">
        <v>76</v>
      </c>
      <c r="B47" s="84">
        <v>2421</v>
      </c>
      <c r="C47" s="84">
        <v>421</v>
      </c>
      <c r="D47" s="84" t="s">
        <v>77</v>
      </c>
      <c r="E47" s="112">
        <v>2000</v>
      </c>
      <c r="F47" s="112">
        <v>2000</v>
      </c>
    </row>
    <row r="48" s="49" customFormat="true" ht="20" customHeight="true" spans="1:6">
      <c r="A48" s="106" t="s">
        <v>78</v>
      </c>
      <c r="B48" s="106">
        <v>6481</v>
      </c>
      <c r="C48" s="106">
        <v>481</v>
      </c>
      <c r="D48" s="84" t="s">
        <v>79</v>
      </c>
      <c r="E48" s="112">
        <v>2000</v>
      </c>
      <c r="F48" s="113">
        <v>6000</v>
      </c>
    </row>
    <row r="49" s="49" customFormat="true" ht="20" customHeight="true" spans="1:6">
      <c r="A49" s="106"/>
      <c r="B49" s="106"/>
      <c r="C49" s="106"/>
      <c r="D49" s="84" t="s">
        <v>80</v>
      </c>
      <c r="E49" s="112">
        <v>4000</v>
      </c>
      <c r="F49" s="113"/>
    </row>
    <row r="50" s="49" customFormat="true" ht="20" customHeight="true" spans="1:6">
      <c r="A50" s="84" t="s">
        <v>81</v>
      </c>
      <c r="B50" s="84">
        <v>2217</v>
      </c>
      <c r="C50" s="84">
        <v>217</v>
      </c>
      <c r="D50" s="84" t="s">
        <v>82</v>
      </c>
      <c r="E50" s="112">
        <v>2000</v>
      </c>
      <c r="F50" s="112">
        <v>2000</v>
      </c>
    </row>
    <row r="51" s="49" customFormat="true" ht="20" customHeight="true" spans="1:6">
      <c r="A51" s="84" t="s">
        <v>83</v>
      </c>
      <c r="B51" s="84">
        <v>2300</v>
      </c>
      <c r="C51" s="84">
        <v>300</v>
      </c>
      <c r="D51" s="84" t="s">
        <v>84</v>
      </c>
      <c r="E51" s="112">
        <v>2000</v>
      </c>
      <c r="F51" s="112">
        <v>2000</v>
      </c>
    </row>
    <row r="52" s="49" customFormat="true" ht="20" customHeight="true" spans="1:6">
      <c r="A52" s="84" t="s">
        <v>85</v>
      </c>
      <c r="B52" s="84">
        <v>2532</v>
      </c>
      <c r="C52" s="84">
        <v>532</v>
      </c>
      <c r="D52" s="84" t="s">
        <v>86</v>
      </c>
      <c r="E52" s="112">
        <v>2000</v>
      </c>
      <c r="F52" s="112">
        <v>2000</v>
      </c>
    </row>
    <row r="53" s="49" customFormat="true" ht="20" customHeight="true" spans="1:6">
      <c r="A53" s="84" t="s">
        <v>87</v>
      </c>
      <c r="B53" s="107">
        <v>2097</v>
      </c>
      <c r="C53" s="84">
        <v>97</v>
      </c>
      <c r="D53" s="84" t="s">
        <v>88</v>
      </c>
      <c r="E53" s="112">
        <v>2000</v>
      </c>
      <c r="F53" s="112">
        <v>2000</v>
      </c>
    </row>
    <row r="54" s="49" customFormat="true" ht="13.5"/>
    <row r="55" s="49" customFormat="true" ht="13.5"/>
    <row r="56" s="49" customFormat="true" ht="13.5"/>
    <row r="57" s="49" customFormat="true" ht="13.5"/>
    <row r="58" s="49" customFormat="true" ht="13.5"/>
    <row r="59" s="49" customFormat="true" ht="13.5"/>
    <row r="60" s="49" customFormat="true" ht="13.5"/>
    <row r="61" s="49" customFormat="true" ht="13.5"/>
    <row r="62" s="49" customFormat="true" ht="13.5"/>
    <row r="63" s="49" customFormat="true" ht="13.5"/>
    <row r="64" s="49" customFormat="true" ht="13.5"/>
    <row r="65" s="49" customFormat="true" ht="13.5"/>
    <row r="66" s="49" customFormat="true" ht="13.5"/>
    <row r="67" s="49" customFormat="true" ht="13.5"/>
    <row r="68" s="49" customFormat="true" ht="13.5"/>
    <row r="69" s="49" customFormat="true" ht="13.5"/>
    <row r="70" s="49" customFormat="true" ht="13.5"/>
    <row r="71" s="49" customFormat="true" ht="13.5"/>
    <row r="72" s="49" customFormat="true" ht="13.5"/>
    <row r="73" s="49" customFormat="true" ht="13.5"/>
    <row r="74" s="49" customFormat="true" ht="13.5"/>
    <row r="75" s="49" customFormat="true" ht="13.5"/>
    <row r="76" s="49" customFormat="true" ht="13.5"/>
    <row r="77" s="49" customFormat="true" ht="13.5"/>
    <row r="78" s="49" customFormat="true" ht="13.5"/>
    <row r="79" s="49" customFormat="true" ht="13.5"/>
    <row r="80" s="49" customFormat="true" ht="13.5"/>
    <row r="81" s="49" customFormat="true" ht="13.5"/>
    <row r="82" s="49" customFormat="true" ht="13.5"/>
    <row r="83" s="49" customFormat="true" ht="13.5"/>
    <row r="84" s="49" customFormat="true" ht="13.5"/>
    <row r="85" s="49" customFormat="true" ht="13.5"/>
    <row r="86" s="49" customFormat="true" ht="13.5"/>
    <row r="87" s="49" customFormat="true" ht="13.5"/>
    <row r="88" s="49" customFormat="true" ht="13.5"/>
    <row r="89" s="49" customFormat="true" ht="13.5"/>
    <row r="90" s="49" customFormat="true" ht="13.5"/>
    <row r="91" s="49" customFormat="true" ht="13.5"/>
    <row r="92" s="49" customFormat="true" ht="13.5"/>
    <row r="93" s="49" customFormat="true" ht="13.5"/>
    <row r="94" s="49" customFormat="true" ht="13.5"/>
    <row r="95" s="49" customFormat="true" ht="13.5"/>
    <row r="96" s="49" customFormat="true" ht="13.5"/>
    <row r="97" s="49" customFormat="true" ht="13.5"/>
    <row r="98" s="49" customFormat="true" ht="13.5"/>
    <row r="99" s="49" customFormat="true" ht="13.5"/>
    <row r="100" s="49" customFormat="true" ht="13.5"/>
    <row r="101" s="49" customFormat="true" ht="13.5"/>
    <row r="102" s="49" customFormat="true" ht="13.5"/>
    <row r="103" s="49" customFormat="true" ht="13.5"/>
    <row r="104" s="49" customFormat="true" ht="13.5"/>
    <row r="105" s="49" customFormat="true" ht="13.5"/>
    <row r="106" s="49" customFormat="true" ht="13.5"/>
    <row r="107" s="49" customFormat="true" ht="13.5"/>
    <row r="108" s="49" customFormat="true" ht="13.5"/>
    <row r="109" s="49" customFormat="true" ht="13.5"/>
    <row r="110" s="49" customFormat="true" ht="13.5"/>
    <row r="111" s="49" customFormat="true" ht="13.5"/>
    <row r="112" s="49" customFormat="true" ht="13.5"/>
    <row r="113" s="49" customFormat="true" ht="13.5"/>
    <row r="114" s="49" customFormat="true" ht="13.5"/>
    <row r="115" s="49" customFormat="true" ht="13.5"/>
    <row r="116" s="49" customFormat="true" ht="13.5"/>
    <row r="117" s="49" customFormat="true" ht="13.5"/>
    <row r="118" s="49" customFormat="true" ht="13.5"/>
    <row r="119" s="49" customFormat="true" ht="13.5"/>
    <row r="120" s="49" customFormat="true" ht="13.5"/>
    <row r="121" s="49" customFormat="true" ht="13.5"/>
    <row r="122" s="49" customFormat="true" ht="13.5"/>
    <row r="123" s="49" customFormat="true" ht="13.5"/>
    <row r="124" s="49" customFormat="true" ht="13.5"/>
    <row r="125" s="49" customFormat="true" ht="13.5"/>
    <row r="126" s="49" customFormat="true" ht="13.5"/>
    <row r="127" s="49" customFormat="true" ht="13.5"/>
    <row r="128" s="49" customFormat="true" ht="13.5"/>
    <row r="129" s="49" customFormat="true" ht="13.5"/>
    <row r="130" s="49" customFormat="true" ht="13.5"/>
    <row r="131" s="49" customFormat="true" ht="13.5"/>
    <row r="132" s="49" customFormat="true" ht="13.5"/>
    <row r="133" s="49" customFormat="true" ht="13.5"/>
    <row r="134" s="49" customFormat="true" ht="13.5"/>
    <row r="135" s="49" customFormat="true" ht="13.5"/>
    <row r="136" s="49" customFormat="true" ht="13.5"/>
    <row r="137" s="49" customFormat="true" ht="13.5"/>
    <row r="138" s="49" customFormat="true" ht="13.5"/>
    <row r="139" s="49" customFormat="true" ht="13.5"/>
    <row r="140" s="49" customFormat="true" ht="13.5"/>
    <row r="141" s="49" customFormat="true" ht="13.5"/>
    <row r="142" s="49" customFormat="true" ht="13.5"/>
    <row r="143" s="49" customFormat="true" ht="13.5"/>
    <row r="144" s="49" customFormat="true" ht="13.5"/>
    <row r="145" s="49" customFormat="true" ht="13.5"/>
    <row r="146" s="49" customFormat="true" ht="13.5"/>
    <row r="147" s="49" customFormat="true" ht="13.5"/>
    <row r="148" s="49" customFormat="true" ht="13.5"/>
    <row r="149" s="49" customFormat="true" ht="13.5"/>
    <row r="150" s="49" customFormat="true" ht="13.5"/>
    <row r="151" s="49" customFormat="true" ht="13.5"/>
    <row r="152" s="49" customFormat="true" ht="13.5"/>
    <row r="153" s="49" customFormat="true" ht="13.5"/>
    <row r="154" s="49" customFormat="true" ht="13.5"/>
    <row r="155" s="49" customFormat="true" ht="13.5"/>
    <row r="156" s="49" customFormat="true" ht="13.5"/>
    <row r="157" s="49" customFormat="true" ht="13.5"/>
    <row r="158" s="49" customFormat="true" ht="13.5"/>
    <row r="159" s="49" customFormat="true" ht="13.5"/>
    <row r="160" s="49" customFormat="true" ht="13.5"/>
    <row r="161" s="49" customFormat="true" ht="13.5"/>
    <row r="162" s="49" customFormat="true" ht="13.5"/>
    <row r="163" s="49" customFormat="true" ht="13.5"/>
    <row r="164" s="49" customFormat="true" ht="13.5"/>
    <row r="165" s="49" customFormat="true" ht="13.5"/>
    <row r="166" s="49" customFormat="true" ht="13.5"/>
    <row r="167" s="49" customFormat="true" ht="13.5"/>
    <row r="168" s="49" customFormat="true" ht="13.5"/>
    <row r="169" s="49" customFormat="true" ht="13.5"/>
    <row r="170" s="49" customFormat="true" ht="13.5"/>
    <row r="171" s="49" customFormat="true" ht="13.5"/>
    <row r="172" s="49" customFormat="true" ht="13.5"/>
    <row r="173" s="49" customFormat="true" ht="13.5"/>
    <row r="174" s="49" customFormat="true" ht="13.5"/>
    <row r="175" s="49" customFormat="true" ht="13.5"/>
    <row r="176" s="49" customFormat="true" ht="13.5"/>
    <row r="177" s="49" customFormat="true" ht="13.5"/>
    <row r="178" s="49" customFormat="true" ht="13.5"/>
    <row r="179" s="49" customFormat="true" ht="13.5"/>
    <row r="180" s="49" customFormat="true" ht="13.5"/>
    <row r="181" s="49" customFormat="true" ht="13.5"/>
    <row r="182" s="49" customFormat="true" ht="13.5"/>
    <row r="183" s="49" customFormat="true" ht="13.5"/>
    <row r="184" s="49" customFormat="true" ht="13.5"/>
    <row r="185" s="49" customFormat="true" ht="13.5"/>
    <row r="186" s="49" customFormat="true" ht="13.5"/>
    <row r="187" s="49" customFormat="true" ht="13.5"/>
    <row r="188" s="49" customFormat="true" ht="13.5"/>
    <row r="189" s="49" customFormat="true" ht="13.5"/>
    <row r="190" s="49" customFormat="true" ht="13.5"/>
    <row r="191" s="49" customFormat="true" ht="13.5"/>
    <row r="192" s="49" customFormat="true" ht="13.5"/>
    <row r="193" s="49" customFormat="true" ht="13.5"/>
    <row r="194" s="49" customFormat="true" ht="13.5"/>
    <row r="195" s="49" customFormat="true" ht="13.5"/>
    <row r="196" s="49" customFormat="true" ht="13.5"/>
    <row r="197" s="49" customFormat="true" ht="13.5"/>
    <row r="198" s="49" customFormat="true" ht="13.5"/>
    <row r="199" s="49" customFormat="true" ht="13.5"/>
    <row r="200" s="49" customFormat="true" ht="13.5"/>
    <row r="201" s="49" customFormat="true" ht="13.5"/>
  </sheetData>
  <mergeCells count="41">
    <mergeCell ref="A2:F2"/>
    <mergeCell ref="D4:F4"/>
    <mergeCell ref="A4:A5"/>
    <mergeCell ref="A9:A10"/>
    <mergeCell ref="A18:A19"/>
    <mergeCell ref="A26:A28"/>
    <mergeCell ref="A30:A31"/>
    <mergeCell ref="A32:A33"/>
    <mergeCell ref="A34:A35"/>
    <mergeCell ref="A40:A41"/>
    <mergeCell ref="A43:A44"/>
    <mergeCell ref="A48:A49"/>
    <mergeCell ref="B4:B5"/>
    <mergeCell ref="B9:B10"/>
    <mergeCell ref="B18:B19"/>
    <mergeCell ref="B26:B28"/>
    <mergeCell ref="B30:B31"/>
    <mergeCell ref="B32:B33"/>
    <mergeCell ref="B34:B35"/>
    <mergeCell ref="B40:B41"/>
    <mergeCell ref="B43:B44"/>
    <mergeCell ref="B48:B49"/>
    <mergeCell ref="C4:C5"/>
    <mergeCell ref="C9:C10"/>
    <mergeCell ref="C18:C19"/>
    <mergeCell ref="C26:C28"/>
    <mergeCell ref="C30:C31"/>
    <mergeCell ref="C32:C33"/>
    <mergeCell ref="C34:C35"/>
    <mergeCell ref="C40:C41"/>
    <mergeCell ref="C43:C44"/>
    <mergeCell ref="C48:C49"/>
    <mergeCell ref="F9:F10"/>
    <mergeCell ref="F18:F19"/>
    <mergeCell ref="F26:F28"/>
    <mergeCell ref="F30:F31"/>
    <mergeCell ref="F32:F33"/>
    <mergeCell ref="F34:F35"/>
    <mergeCell ref="F40:F41"/>
    <mergeCell ref="F43:F44"/>
    <mergeCell ref="F48:F49"/>
  </mergeCells>
  <printOptions horizontalCentered="true"/>
  <pageMargins left="0.751388888888889" right="0.751388888888889" top="1" bottom="1" header="0.5" footer="0.5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45"/>
  <sheetViews>
    <sheetView topLeftCell="A21" workbookViewId="0">
      <selection activeCell="L5" sqref="L5:L12"/>
    </sheetView>
  </sheetViews>
  <sheetFormatPr defaultColWidth="8.83333333333333" defaultRowHeight="15.75"/>
  <cols>
    <col min="1" max="1" width="5.25" style="49" customWidth="true"/>
    <col min="2" max="3" width="5.625" style="49" customWidth="true"/>
    <col min="4" max="4" width="15.375" style="49" customWidth="true"/>
    <col min="5" max="5" width="23" style="49" customWidth="true"/>
    <col min="6" max="6" width="48.375" style="49" customWidth="true"/>
    <col min="7" max="7" width="14.375" style="78" customWidth="true"/>
    <col min="8" max="8" width="12.25" style="78" hidden="true" customWidth="true"/>
    <col min="9" max="9" width="11.875" style="78" hidden="true" customWidth="true"/>
    <col min="10" max="10" width="12.625" style="78" hidden="true" customWidth="true"/>
    <col min="11" max="11" width="11.625" style="78" hidden="true" customWidth="true"/>
    <col min="12" max="12" width="10" style="78" customWidth="true"/>
    <col min="13" max="13" width="12.625" style="49"/>
    <col min="14" max="254" width="8.83333333333333" style="49"/>
  </cols>
  <sheetData>
    <row r="1" s="49" customFormat="true" ht="27" customHeight="true" spans="1:12">
      <c r="A1" s="79" t="s">
        <v>89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="49" customFormat="true" ht="13.5" spans="7:12">
      <c r="G2" s="78"/>
      <c r="H2" s="78"/>
      <c r="I2" s="78"/>
      <c r="J2" s="78"/>
      <c r="K2" s="78"/>
      <c r="L2" s="78"/>
    </row>
    <row r="3" s="49" customFormat="true" ht="91" customHeight="true" spans="1:12">
      <c r="A3" s="80" t="s">
        <v>90</v>
      </c>
      <c r="B3" s="80" t="s">
        <v>91</v>
      </c>
      <c r="C3" s="80" t="s">
        <v>92</v>
      </c>
      <c r="D3" s="80" t="s">
        <v>93</v>
      </c>
      <c r="E3" s="81" t="s">
        <v>94</v>
      </c>
      <c r="F3" s="81" t="s">
        <v>95</v>
      </c>
      <c r="G3" s="86" t="s">
        <v>96</v>
      </c>
      <c r="H3" s="86" t="s">
        <v>97</v>
      </c>
      <c r="I3" s="86" t="s">
        <v>98</v>
      </c>
      <c r="J3" s="86" t="s">
        <v>99</v>
      </c>
      <c r="K3" s="86" t="s">
        <v>100</v>
      </c>
      <c r="L3" s="80" t="s">
        <v>101</v>
      </c>
    </row>
    <row r="4" s="49" customFormat="true" ht="20" customHeight="true" spans="1:12">
      <c r="A4" s="20"/>
      <c r="B4" s="20"/>
      <c r="C4" s="20"/>
      <c r="D4" s="81" t="s">
        <v>10</v>
      </c>
      <c r="E4" s="81"/>
      <c r="F4" s="81"/>
      <c r="G4" s="87">
        <f t="shared" ref="G4:L4" si="0">SUM(G5:G44)</f>
        <v>4092.0583</v>
      </c>
      <c r="H4" s="88">
        <f t="shared" si="0"/>
        <v>1</v>
      </c>
      <c r="I4" s="87">
        <f t="shared" si="0"/>
        <v>707339.87</v>
      </c>
      <c r="J4" s="88">
        <f t="shared" si="0"/>
        <v>1</v>
      </c>
      <c r="K4" s="88">
        <f t="shared" si="0"/>
        <v>1</v>
      </c>
      <c r="L4" s="91">
        <f t="shared" si="0"/>
        <v>130000</v>
      </c>
    </row>
    <row r="5" s="49" customFormat="true" ht="14.25" customHeight="true" spans="1:13">
      <c r="A5" s="82">
        <v>10</v>
      </c>
      <c r="B5" s="82">
        <v>8</v>
      </c>
      <c r="C5" s="83" t="s">
        <v>102</v>
      </c>
      <c r="D5" s="84" t="s">
        <v>103</v>
      </c>
      <c r="E5" s="84" t="s">
        <v>29</v>
      </c>
      <c r="F5" s="84" t="s">
        <v>104</v>
      </c>
      <c r="G5" s="89">
        <f>VLOOKUP(E5,县域养老服务体系创新试点方向基础数据!$C$2:$F$42,3,0)</f>
        <v>290.81</v>
      </c>
      <c r="H5" s="90">
        <f>G5/$G$4</f>
        <v>0.0710669249262651</v>
      </c>
      <c r="I5" s="89">
        <f>VLOOKUP(E5,县域养老服务体系创新试点方向基础数据!$C$2:$F$42,4,0)</f>
        <v>33392</v>
      </c>
      <c r="J5" s="92">
        <f>I5/$I$4</f>
        <v>0.0472078578010879</v>
      </c>
      <c r="K5" s="92">
        <f t="shared" ref="K5:K44" si="1">H5*50%+J5*50%</f>
        <v>0.0591373913636765</v>
      </c>
      <c r="L5" s="93">
        <v>5000</v>
      </c>
      <c r="M5" s="49">
        <f>VLOOKUP(G5,县域养老分档金额!$A$1:$B$5,2,1)</f>
        <v>5000</v>
      </c>
    </row>
    <row r="6" s="49" customFormat="true" ht="13.5" spans="1:13">
      <c r="A6" s="82">
        <v>6</v>
      </c>
      <c r="B6" s="82">
        <v>14</v>
      </c>
      <c r="C6" s="83" t="s">
        <v>105</v>
      </c>
      <c r="D6" s="84" t="s">
        <v>106</v>
      </c>
      <c r="E6" s="84" t="s">
        <v>46</v>
      </c>
      <c r="F6" s="84" t="s">
        <v>107</v>
      </c>
      <c r="G6" s="89">
        <f>VLOOKUP(E6,县域养老服务体系创新试点方向基础数据!$C$2:$F$42,3,0)</f>
        <v>259.15</v>
      </c>
      <c r="H6" s="90">
        <f>G6/$G$4</f>
        <v>0.0633299872584904</v>
      </c>
      <c r="I6" s="89">
        <f>VLOOKUP(E6,县域养老服务体系创新试点方向基础数据!$C$2:$F$42,4,0)</f>
        <v>56344</v>
      </c>
      <c r="J6" s="92">
        <f>I6/$I$4</f>
        <v>0.079656191301644</v>
      </c>
      <c r="K6" s="92">
        <f t="shared" si="1"/>
        <v>0.0714930892800672</v>
      </c>
      <c r="L6" s="93">
        <v>5000</v>
      </c>
      <c r="M6" s="49">
        <f>VLOOKUP(G6,县域养老分档金额!$A$1:$B$5,2,1)</f>
        <v>5000</v>
      </c>
    </row>
    <row r="7" s="49" customFormat="true" ht="13.5" spans="1:13">
      <c r="A7" s="82">
        <v>7</v>
      </c>
      <c r="B7" s="82">
        <v>16</v>
      </c>
      <c r="C7" s="83" t="s">
        <v>102</v>
      </c>
      <c r="D7" s="84" t="s">
        <v>108</v>
      </c>
      <c r="E7" s="84" t="s">
        <v>54</v>
      </c>
      <c r="F7" s="84" t="s">
        <v>109</v>
      </c>
      <c r="G7" s="89">
        <f>VLOOKUP(E7,县域养老服务体系创新试点方向基础数据!$C$2:$F$42,3,0)</f>
        <v>238.12</v>
      </c>
      <c r="H7" s="90">
        <f>G7/$G$4</f>
        <v>0.0581907642909193</v>
      </c>
      <c r="I7" s="89">
        <f>VLOOKUP(E7,县域养老服务体系创新试点方向基础数据!$C$2:$F$42,4,0)</f>
        <v>45000</v>
      </c>
      <c r="J7" s="92">
        <f>I7/$I$4</f>
        <v>0.0636186392264301</v>
      </c>
      <c r="K7" s="92">
        <f t="shared" si="1"/>
        <v>0.0609047017586747</v>
      </c>
      <c r="L7" s="93">
        <v>5000</v>
      </c>
      <c r="M7" s="49">
        <f>VLOOKUP(G7,县域养老分档金额!$A$1:$B$5,2,1)</f>
        <v>5000</v>
      </c>
    </row>
    <row r="8" s="49" customFormat="true" ht="13.5" spans="1:13">
      <c r="A8" s="82">
        <v>13</v>
      </c>
      <c r="B8" s="82">
        <v>7</v>
      </c>
      <c r="C8" s="83" t="s">
        <v>102</v>
      </c>
      <c r="D8" s="84" t="s">
        <v>110</v>
      </c>
      <c r="E8" s="84" t="s">
        <v>27</v>
      </c>
      <c r="F8" s="84" t="s">
        <v>111</v>
      </c>
      <c r="G8" s="89">
        <f>VLOOKUP(E8,县域养老服务体系创新试点方向基础数据!$C$2:$F$42,3,0)</f>
        <v>237.7551</v>
      </c>
      <c r="H8" s="90">
        <f>G8/$G$4</f>
        <v>0.058101591563346</v>
      </c>
      <c r="I8" s="89">
        <f>VLOOKUP(E8,县域养老服务体系创新试点方向基础数据!$C$2:$F$42,4,0)</f>
        <v>54146</v>
      </c>
      <c r="J8" s="92">
        <f>I8/$I$4</f>
        <v>0.0765487742123175</v>
      </c>
      <c r="K8" s="92">
        <f t="shared" si="1"/>
        <v>0.0673251828878317</v>
      </c>
      <c r="L8" s="93">
        <v>5000</v>
      </c>
      <c r="M8" s="49">
        <f>VLOOKUP(G8,县域养老分档金额!$A$1:$B$5,2,1)</f>
        <v>5000</v>
      </c>
    </row>
    <row r="9" s="49" customFormat="true" ht="13.5" spans="1:13">
      <c r="A9" s="82">
        <v>30</v>
      </c>
      <c r="B9" s="82">
        <v>16</v>
      </c>
      <c r="C9" s="83" t="s">
        <v>102</v>
      </c>
      <c r="D9" s="84" t="s">
        <v>108</v>
      </c>
      <c r="E9" s="84" t="s">
        <v>55</v>
      </c>
      <c r="F9" s="84" t="s">
        <v>112</v>
      </c>
      <c r="G9" s="89">
        <f>VLOOKUP(E9,县域养老服务体系创新试点方向基础数据!$C$2:$F$42,3,0)</f>
        <v>228.7082</v>
      </c>
      <c r="H9" s="90">
        <f>G9/$G$4</f>
        <v>0.0558907481841107</v>
      </c>
      <c r="I9" s="89">
        <f>VLOOKUP(E9,县域养老服务体系创新试点方向基础数据!$C$2:$F$42,4,0)</f>
        <v>47464</v>
      </c>
      <c r="J9" s="92">
        <f>I9/$I$4</f>
        <v>0.0671021131609618</v>
      </c>
      <c r="K9" s="92">
        <f t="shared" si="1"/>
        <v>0.0614964306725362</v>
      </c>
      <c r="L9" s="93">
        <v>5000</v>
      </c>
      <c r="M9" s="49">
        <f>VLOOKUP(G9,县域养老分档金额!$A$1:$B$5,2,1)</f>
        <v>5000</v>
      </c>
    </row>
    <row r="10" s="49" customFormat="true" ht="13.5" spans="1:13">
      <c r="A10" s="82">
        <v>12</v>
      </c>
      <c r="B10" s="82">
        <v>10</v>
      </c>
      <c r="C10" s="83" t="s">
        <v>105</v>
      </c>
      <c r="D10" s="84" t="s">
        <v>113</v>
      </c>
      <c r="E10" s="84" t="s">
        <v>33</v>
      </c>
      <c r="F10" s="84" t="s">
        <v>114</v>
      </c>
      <c r="G10" s="89">
        <f>VLOOKUP(E10,县域养老服务体系创新试点方向基础数据!$C$2:$F$42,3,0)</f>
        <v>222.54</v>
      </c>
      <c r="H10" s="90">
        <f>G10/$G$4</f>
        <v>0.0543833894057668</v>
      </c>
      <c r="I10" s="89">
        <f>VLOOKUP(E10,县域养老服务体系创新试点方向基础数据!$C$2:$F$42,4,0)</f>
        <v>52000</v>
      </c>
      <c r="J10" s="92">
        <f>I10/$I$4</f>
        <v>0.0735148719949859</v>
      </c>
      <c r="K10" s="92">
        <f t="shared" si="1"/>
        <v>0.0639491307003764</v>
      </c>
      <c r="L10" s="93">
        <v>5000</v>
      </c>
      <c r="M10" s="49">
        <f>VLOOKUP(G10,县域养老分档金额!$A$1:$B$5,2,1)</f>
        <v>5000</v>
      </c>
    </row>
    <row r="11" s="49" customFormat="true" ht="13.5" spans="1:13">
      <c r="A11" s="82">
        <v>8</v>
      </c>
      <c r="B11" s="82">
        <v>15</v>
      </c>
      <c r="C11" s="83" t="s">
        <v>102</v>
      </c>
      <c r="D11" s="84" t="s">
        <v>115</v>
      </c>
      <c r="E11" s="84" t="s">
        <v>51</v>
      </c>
      <c r="F11" s="84" t="s">
        <v>116</v>
      </c>
      <c r="G11" s="89">
        <f>VLOOKUP(E11,县域养老服务体系创新试点方向基础数据!$C$2:$F$42,3,0)</f>
        <v>219.7</v>
      </c>
      <c r="H11" s="90">
        <f>G11/$G$4</f>
        <v>0.0536893621481395</v>
      </c>
      <c r="I11" s="89">
        <f>VLOOKUP(E11,县域养老服务体系创新试点方向基础数据!$C$2:$F$42,4,0)</f>
        <v>59579</v>
      </c>
      <c r="J11" s="92">
        <f>I11/$I$4</f>
        <v>0.0842296645882551</v>
      </c>
      <c r="K11" s="92">
        <f t="shared" si="1"/>
        <v>0.0689595133681973</v>
      </c>
      <c r="L11" s="93">
        <v>5000</v>
      </c>
      <c r="M11" s="49">
        <f>VLOOKUP(G11,县域养老分档金额!$A$1:$B$5,2,1)</f>
        <v>5000</v>
      </c>
    </row>
    <row r="12" s="49" customFormat="true" ht="13.5" spans="1:13">
      <c r="A12" s="82">
        <v>4</v>
      </c>
      <c r="B12" s="82">
        <v>3</v>
      </c>
      <c r="C12" s="83" t="s">
        <v>102</v>
      </c>
      <c r="D12" s="84" t="s">
        <v>117</v>
      </c>
      <c r="E12" s="84" t="s">
        <v>17</v>
      </c>
      <c r="F12" s="84" t="s">
        <v>118</v>
      </c>
      <c r="G12" s="89">
        <f>VLOOKUP(E12,县域养老服务体系创新试点方向基础数据!$C$2:$F$42,3,0)</f>
        <v>200.42</v>
      </c>
      <c r="H12" s="90">
        <f>G12/$G$4</f>
        <v>0.0489777968217119</v>
      </c>
      <c r="I12" s="89">
        <f>VLOOKUP(E12,县域养老服务体系创新试点方向基础数据!$C$2:$F$42,4,0)</f>
        <v>39452</v>
      </c>
      <c r="J12" s="92">
        <f>I12/$I$4</f>
        <v>0.0557751678835805</v>
      </c>
      <c r="K12" s="92">
        <f t="shared" si="1"/>
        <v>0.0523764823526462</v>
      </c>
      <c r="L12" s="93">
        <v>5000</v>
      </c>
      <c r="M12" s="49">
        <f>VLOOKUP(G12,县域养老分档金额!$A$1:$B$5,2,1)</f>
        <v>5000</v>
      </c>
    </row>
    <row r="13" s="49" customFormat="true" ht="13.5" spans="1:13">
      <c r="A13" s="82">
        <v>25</v>
      </c>
      <c r="B13" s="82">
        <v>11</v>
      </c>
      <c r="C13" s="83" t="s">
        <v>105</v>
      </c>
      <c r="D13" s="84" t="s">
        <v>119</v>
      </c>
      <c r="E13" s="84" t="s">
        <v>38</v>
      </c>
      <c r="F13" s="84" t="s">
        <v>120</v>
      </c>
      <c r="G13" s="89">
        <f>VLOOKUP(E13,县域养老服务体系创新试点方向基础数据!$C$2:$F$42,3,0)</f>
        <v>196.36</v>
      </c>
      <c r="H13" s="90">
        <f>G13/$G$4</f>
        <v>0.0479856310942589</v>
      </c>
      <c r="I13" s="89">
        <f>VLOOKUP(E13,县域养老服务体系创新试点方向基础数据!$C$2:$F$42,4,0)</f>
        <v>43960</v>
      </c>
      <c r="J13" s="92">
        <f>I13/$I$4</f>
        <v>0.0621483417865304</v>
      </c>
      <c r="K13" s="92">
        <f t="shared" si="1"/>
        <v>0.0550669864403946</v>
      </c>
      <c r="L13" s="93">
        <v>4000</v>
      </c>
      <c r="M13" s="49">
        <f>VLOOKUP(G13,县域养老分档金额!$A$1:$B$5,2,1)</f>
        <v>4000</v>
      </c>
    </row>
    <row r="14" s="49" customFormat="true" ht="13.5" spans="1:13">
      <c r="A14" s="82">
        <v>16</v>
      </c>
      <c r="B14" s="82">
        <v>10</v>
      </c>
      <c r="C14" s="83" t="s">
        <v>105</v>
      </c>
      <c r="D14" s="84" t="s">
        <v>113</v>
      </c>
      <c r="E14" s="84" t="s">
        <v>34</v>
      </c>
      <c r="F14" s="84" t="s">
        <v>121</v>
      </c>
      <c r="G14" s="89">
        <f>VLOOKUP(E14,县域养老服务体系创新试点方向基础数据!$C$2:$F$42,3,0)</f>
        <v>159.5</v>
      </c>
      <c r="H14" s="90">
        <f>G14/$G$4</f>
        <v>0.0389779392928004</v>
      </c>
      <c r="I14" s="89">
        <f>VLOOKUP(E14,县域养老服务体系创新试点方向基础数据!$C$2:$F$42,4,0)</f>
        <v>38000</v>
      </c>
      <c r="J14" s="92">
        <f>I14/$I$4</f>
        <v>0.0537224064578743</v>
      </c>
      <c r="K14" s="92">
        <f t="shared" si="1"/>
        <v>0.0463501728753374</v>
      </c>
      <c r="L14" s="93">
        <v>4000</v>
      </c>
      <c r="M14" s="49">
        <f>VLOOKUP(G14,县域养老分档金额!$A$1:$B$5,2,1)</f>
        <v>4000</v>
      </c>
    </row>
    <row r="15" s="49" customFormat="true" ht="13.5" spans="1:13">
      <c r="A15" s="82">
        <v>14</v>
      </c>
      <c r="B15" s="82">
        <v>3</v>
      </c>
      <c r="C15" s="83" t="s">
        <v>102</v>
      </c>
      <c r="D15" s="84" t="s">
        <v>117</v>
      </c>
      <c r="E15" s="84" t="s">
        <v>18</v>
      </c>
      <c r="F15" s="84" t="s">
        <v>118</v>
      </c>
      <c r="G15" s="89">
        <f>VLOOKUP(E15,县域养老服务体系创新试点方向基础数据!$C$2:$F$42,3,0)</f>
        <v>120.46</v>
      </c>
      <c r="H15" s="90">
        <f>G15/$G$4</f>
        <v>0.0294375082583745</v>
      </c>
      <c r="I15" s="89">
        <f>VLOOKUP(E15,县域养老服务体系创新试点方向基础数据!$C$2:$F$42,4,0)</f>
        <v>16916</v>
      </c>
      <c r="J15" s="92">
        <f>I15/$I$4</f>
        <v>0.0239149533589843</v>
      </c>
      <c r="K15" s="92">
        <f t="shared" si="1"/>
        <v>0.0266762308086794</v>
      </c>
      <c r="L15" s="93">
        <v>4000</v>
      </c>
      <c r="M15" s="49">
        <f>VLOOKUP(G15,县域养老分档金额!$A$1:$B$5,2,1)</f>
        <v>4000</v>
      </c>
    </row>
    <row r="16" s="49" customFormat="true" ht="13.5" spans="1:13">
      <c r="A16" s="82">
        <v>22</v>
      </c>
      <c r="B16" s="82">
        <v>17</v>
      </c>
      <c r="C16" s="83" t="s">
        <v>102</v>
      </c>
      <c r="D16" s="84" t="s">
        <v>122</v>
      </c>
      <c r="E16" s="84" t="s">
        <v>58</v>
      </c>
      <c r="F16" s="84" t="s">
        <v>123</v>
      </c>
      <c r="G16" s="89">
        <f>VLOOKUP(E16,县域养老服务体系创新试点方向基础数据!$C$2:$F$42,3,0)</f>
        <v>117.8</v>
      </c>
      <c r="H16" s="90">
        <f>G16/$G$4</f>
        <v>0.0287874686438363</v>
      </c>
      <c r="I16" s="89">
        <f>VLOOKUP(E16,县域养老服务体系创新试点方向基础数据!$C$2:$F$42,4,0)</f>
        <v>16007</v>
      </c>
      <c r="J16" s="92">
        <f>I16/$I$4</f>
        <v>0.0226298568466104</v>
      </c>
      <c r="K16" s="92">
        <f t="shared" si="1"/>
        <v>0.0257086627452233</v>
      </c>
      <c r="L16" s="93">
        <v>4000</v>
      </c>
      <c r="M16" s="49">
        <f>VLOOKUP(G16,县域养老分档金额!$A$1:$B$5,2,1)</f>
        <v>4000</v>
      </c>
    </row>
    <row r="17" s="49" customFormat="true" ht="13.5" spans="1:13">
      <c r="A17" s="82">
        <v>31</v>
      </c>
      <c r="B17" s="82">
        <v>22</v>
      </c>
      <c r="C17" s="83" t="s">
        <v>124</v>
      </c>
      <c r="D17" s="84" t="s">
        <v>125</v>
      </c>
      <c r="E17" s="84" t="s">
        <v>72</v>
      </c>
      <c r="F17" s="84" t="s">
        <v>126</v>
      </c>
      <c r="G17" s="89">
        <f>VLOOKUP(E17,县域养老服务体系创新试点方向基础数据!$C$2:$F$42,3,0)</f>
        <v>110.3225</v>
      </c>
      <c r="H17" s="90">
        <f>G17/$G$4</f>
        <v>0.0269601486371785</v>
      </c>
      <c r="I17" s="89">
        <f>VLOOKUP(E17,县域养老服务体系创新试点方向基础数据!$C$2:$F$42,4,0)</f>
        <v>6656</v>
      </c>
      <c r="J17" s="92">
        <f>I17/$I$4</f>
        <v>0.0094099036153582</v>
      </c>
      <c r="K17" s="92">
        <f t="shared" si="1"/>
        <v>0.0181850261262684</v>
      </c>
      <c r="L17" s="93">
        <v>4000</v>
      </c>
      <c r="M17" s="49">
        <f>VLOOKUP(G17,县域养老分档金额!$A$1:$B$5,2,1)</f>
        <v>4000</v>
      </c>
    </row>
    <row r="18" s="49" customFormat="true" ht="13.5" spans="1:13">
      <c r="A18" s="82">
        <v>20</v>
      </c>
      <c r="B18" s="82">
        <v>18</v>
      </c>
      <c r="C18" s="83" t="s">
        <v>105</v>
      </c>
      <c r="D18" s="84" t="s">
        <v>127</v>
      </c>
      <c r="E18" s="84" t="s">
        <v>60</v>
      </c>
      <c r="F18" s="84" t="s">
        <v>128</v>
      </c>
      <c r="G18" s="89">
        <f>VLOOKUP(E18,县域养老服务体系创新试点方向基础数据!$C$2:$F$42,3,0)</f>
        <v>108.11</v>
      </c>
      <c r="H18" s="90">
        <f>G18/$G$4</f>
        <v>0.0264194671908756</v>
      </c>
      <c r="I18" s="89">
        <f>VLOOKUP(E18,县域养老服务体系创新试点方向基础数据!$C$2:$F$42,4,0)</f>
        <v>14240</v>
      </c>
      <c r="J18" s="92">
        <f>I18/$I$4</f>
        <v>0.0201317649463192</v>
      </c>
      <c r="K18" s="92">
        <f t="shared" si="1"/>
        <v>0.0232756160685974</v>
      </c>
      <c r="L18" s="93">
        <v>4000</v>
      </c>
      <c r="M18" s="49">
        <f>VLOOKUP(G18,县域养老分档金额!$A$1:$B$5,2,1)</f>
        <v>4000</v>
      </c>
    </row>
    <row r="19" s="49" customFormat="true" ht="13.5" spans="1:13">
      <c r="A19" s="82">
        <v>3</v>
      </c>
      <c r="B19" s="82">
        <v>21</v>
      </c>
      <c r="C19" s="83" t="s">
        <v>124</v>
      </c>
      <c r="D19" s="84" t="s">
        <v>129</v>
      </c>
      <c r="E19" s="84" t="s">
        <v>69</v>
      </c>
      <c r="F19" s="84" t="s">
        <v>130</v>
      </c>
      <c r="G19" s="89">
        <f>VLOOKUP(E19,县域养老服务体系创新试点方向基础数据!$C$2:$F$42,3,0)</f>
        <v>107.8</v>
      </c>
      <c r="H19" s="90">
        <f>G19/$G$4</f>
        <v>0.0263437106944444</v>
      </c>
      <c r="I19" s="89">
        <f>VLOOKUP(E19,县域养老服务体系创新试点方向基础数据!$C$2:$F$42,4,0)</f>
        <v>12266</v>
      </c>
      <c r="J19" s="92">
        <f>I19/$I$4</f>
        <v>0.0173410273055865</v>
      </c>
      <c r="K19" s="92">
        <f t="shared" si="1"/>
        <v>0.0218423690000154</v>
      </c>
      <c r="L19" s="93">
        <v>4000</v>
      </c>
      <c r="M19" s="49">
        <f>VLOOKUP(G19,县域养老分档金额!$A$1:$B$5,2,1)</f>
        <v>4000</v>
      </c>
    </row>
    <row r="20" s="49" customFormat="true" ht="13.5" spans="1:13">
      <c r="A20" s="82">
        <v>23</v>
      </c>
      <c r="B20" s="82">
        <v>15</v>
      </c>
      <c r="C20" s="83" t="s">
        <v>102</v>
      </c>
      <c r="D20" s="84" t="s">
        <v>115</v>
      </c>
      <c r="E20" s="84" t="s">
        <v>52</v>
      </c>
      <c r="F20" s="84" t="s">
        <v>116</v>
      </c>
      <c r="G20" s="89">
        <f>VLOOKUP(E20,县域养老服务体系创新试点方向基础数据!$C$2:$F$42,3,0)</f>
        <v>105.1</v>
      </c>
      <c r="H20" s="90">
        <f>G20/$G$4</f>
        <v>0.0256838960481086</v>
      </c>
      <c r="I20" s="89">
        <f>VLOOKUP(E20,县域养老服务体系创新试点方向基础数据!$C$2:$F$42,4,0)</f>
        <v>24879</v>
      </c>
      <c r="J20" s="92">
        <f>I20/$I$4</f>
        <v>0.0351726250069857</v>
      </c>
      <c r="K20" s="92">
        <f t="shared" si="1"/>
        <v>0.0304282605275471</v>
      </c>
      <c r="L20" s="93">
        <v>4000</v>
      </c>
      <c r="M20" s="49">
        <f>VLOOKUP(G20,县域养老分档金额!$A$1:$B$5,2,1)</f>
        <v>4000</v>
      </c>
    </row>
    <row r="21" s="49" customFormat="true" ht="13.5" spans="1:13">
      <c r="A21" s="82">
        <v>34</v>
      </c>
      <c r="B21" s="82">
        <v>25</v>
      </c>
      <c r="C21" s="83" t="s">
        <v>124</v>
      </c>
      <c r="D21" s="84" t="s">
        <v>131</v>
      </c>
      <c r="E21" s="84" t="s">
        <v>80</v>
      </c>
      <c r="F21" s="84" t="s">
        <v>132</v>
      </c>
      <c r="G21" s="89">
        <f>VLOOKUP(E21,县域养老服务体系创新试点方向基础数据!$C$2:$F$42,3,0)</f>
        <v>103.8</v>
      </c>
      <c r="H21" s="90">
        <f>G21/$G$4</f>
        <v>0.0253662075146877</v>
      </c>
      <c r="I21" s="89">
        <f>VLOOKUP(E21,县域养老服务体系创新试点方向基础数据!$C$2:$F$42,4,0)</f>
        <v>4360</v>
      </c>
      <c r="J21" s="92">
        <f>I21/$I$4</f>
        <v>0.0061639392672719</v>
      </c>
      <c r="K21" s="92">
        <f t="shared" si="1"/>
        <v>0.0157650733909798</v>
      </c>
      <c r="L21" s="93">
        <v>4000</v>
      </c>
      <c r="M21" s="49">
        <f>VLOOKUP(G21,县域养老分档金额!$A$1:$B$5,2,1)</f>
        <v>4000</v>
      </c>
    </row>
    <row r="22" s="49" customFormat="true" ht="13.5" spans="1:13">
      <c r="A22" s="82">
        <v>17</v>
      </c>
      <c r="B22" s="82">
        <v>12</v>
      </c>
      <c r="C22" s="83" t="s">
        <v>102</v>
      </c>
      <c r="D22" s="84" t="s">
        <v>133</v>
      </c>
      <c r="E22" s="84" t="s">
        <v>40</v>
      </c>
      <c r="F22" s="84" t="s">
        <v>134</v>
      </c>
      <c r="G22" s="89">
        <f>VLOOKUP(E22,县域养老服务体系创新试点方向基础数据!$C$2:$F$42,3,0)</f>
        <v>90.1</v>
      </c>
      <c r="H22" s="90">
        <f>G22/$G$4</f>
        <v>0.0220182591240208</v>
      </c>
      <c r="I22" s="89">
        <f>VLOOKUP(E22,县域养老服务体系创新试点方向基础数据!$C$2:$F$42,4,0)</f>
        <v>16473</v>
      </c>
      <c r="J22" s="92">
        <f>I22/$I$4</f>
        <v>0.0232886631994885</v>
      </c>
      <c r="K22" s="92">
        <f t="shared" si="1"/>
        <v>0.0226534611617547</v>
      </c>
      <c r="L22" s="93">
        <v>3000</v>
      </c>
      <c r="M22" s="49">
        <f>VLOOKUP(G22,县域养老分档金额!$A$1:$B$5,2,1)</f>
        <v>3000</v>
      </c>
    </row>
    <row r="23" s="49" customFormat="true" ht="13.5" spans="1:13">
      <c r="A23" s="82">
        <v>36</v>
      </c>
      <c r="B23" s="82">
        <v>23</v>
      </c>
      <c r="C23" s="83" t="s">
        <v>124</v>
      </c>
      <c r="D23" s="84" t="s">
        <v>135</v>
      </c>
      <c r="E23" s="84" t="s">
        <v>74</v>
      </c>
      <c r="F23" s="84" t="s">
        <v>136</v>
      </c>
      <c r="G23" s="89">
        <f>VLOOKUP(E23,县域养老服务体系创新试点方向基础数据!$C$2:$F$42,3,0)</f>
        <v>85.3052</v>
      </c>
      <c r="H23" s="90">
        <f>G23/$G$4</f>
        <v>0.0208465260624464</v>
      </c>
      <c r="I23" s="89">
        <f>VLOOKUP(E23,县域养老服务体系创新试点方向基础数据!$C$2:$F$42,4,0)</f>
        <v>7943</v>
      </c>
      <c r="J23" s="92">
        <f>I23/$I$4</f>
        <v>0.0112293966972341</v>
      </c>
      <c r="K23" s="92">
        <f t="shared" si="1"/>
        <v>0.0160379613798402</v>
      </c>
      <c r="L23" s="93">
        <v>3000</v>
      </c>
      <c r="M23" s="49">
        <f>VLOOKUP(G23,县域养老分档金额!$A$1:$B$5,2,1)</f>
        <v>3000</v>
      </c>
    </row>
    <row r="24" s="49" customFormat="true" ht="13.5" spans="1:13">
      <c r="A24" s="82">
        <v>28</v>
      </c>
      <c r="B24" s="82">
        <v>22</v>
      </c>
      <c r="C24" s="83" t="s">
        <v>124</v>
      </c>
      <c r="D24" s="84" t="s">
        <v>125</v>
      </c>
      <c r="E24" s="84" t="s">
        <v>71</v>
      </c>
      <c r="F24" s="84" t="s">
        <v>137</v>
      </c>
      <c r="G24" s="89">
        <f>VLOOKUP(E24,县域养老服务体系创新试点方向基础数据!$C$2:$F$42,3,0)</f>
        <v>78.07</v>
      </c>
      <c r="H24" s="90">
        <f>G24/$G$4</f>
        <v>0.0190784183109024</v>
      </c>
      <c r="I24" s="89">
        <f>VLOOKUP(E24,县域养老服务体系创新试点方向基础数据!$C$2:$F$42,4,0)</f>
        <v>4651</v>
      </c>
      <c r="J24" s="92">
        <f>I24/$I$4</f>
        <v>0.00657533980093615</v>
      </c>
      <c r="K24" s="92">
        <f t="shared" si="1"/>
        <v>0.0128268790559193</v>
      </c>
      <c r="L24" s="93">
        <v>3000</v>
      </c>
      <c r="M24" s="49">
        <f>VLOOKUP(G24,县域养老分档金额!$A$1:$B$5,2,1)</f>
        <v>3000</v>
      </c>
    </row>
    <row r="25" s="49" customFormat="true" ht="13.5" spans="1:13">
      <c r="A25" s="82">
        <v>27</v>
      </c>
      <c r="B25" s="82">
        <v>6</v>
      </c>
      <c r="C25" s="83" t="s">
        <v>105</v>
      </c>
      <c r="D25" s="84" t="s">
        <v>138</v>
      </c>
      <c r="E25" s="84" t="s">
        <v>24</v>
      </c>
      <c r="F25" s="84" t="s">
        <v>118</v>
      </c>
      <c r="G25" s="89">
        <f>VLOOKUP(E25,县域养老服务体系创新试点方向基础数据!$C$2:$F$42,3,0)</f>
        <v>77.66</v>
      </c>
      <c r="H25" s="90">
        <f>G25/$G$4</f>
        <v>0.0189782242349773</v>
      </c>
      <c r="I25" s="89">
        <f>VLOOKUP(E25,县域养老服务体系创新试点方向基础数据!$C$2:$F$42,4,0)</f>
        <v>12461</v>
      </c>
      <c r="J25" s="92">
        <f>I25/$I$4</f>
        <v>0.0176167080755677</v>
      </c>
      <c r="K25" s="92">
        <f t="shared" si="1"/>
        <v>0.0182974661552725</v>
      </c>
      <c r="L25" s="93">
        <v>3000</v>
      </c>
      <c r="M25" s="49">
        <f>VLOOKUP(G25,县域养老分档金额!$A$1:$B$5,2,1)</f>
        <v>3000</v>
      </c>
    </row>
    <row r="26" s="49" customFormat="true" ht="13.5" spans="1:13">
      <c r="A26" s="82">
        <v>24</v>
      </c>
      <c r="B26" s="82">
        <v>14</v>
      </c>
      <c r="C26" s="83" t="s">
        <v>105</v>
      </c>
      <c r="D26" s="84" t="s">
        <v>106</v>
      </c>
      <c r="E26" s="84" t="s">
        <v>48</v>
      </c>
      <c r="F26" s="84" t="s">
        <v>139</v>
      </c>
      <c r="G26" s="89">
        <f>VLOOKUP(E26,县域养老服务体系创新试点方向基础数据!$C$2:$F$42,3,0)</f>
        <v>77.21</v>
      </c>
      <c r="H26" s="90">
        <f>G26/$G$4</f>
        <v>0.0188682551272547</v>
      </c>
      <c r="I26" s="89">
        <f>VLOOKUP(E26,县域养老服务体系创新试点方向基础数据!$C$2:$F$42,4,0)</f>
        <v>10110</v>
      </c>
      <c r="J26" s="92">
        <f>I26/$I$4</f>
        <v>0.0142929876128713</v>
      </c>
      <c r="K26" s="92">
        <f t="shared" si="1"/>
        <v>0.016580621370063</v>
      </c>
      <c r="L26" s="93">
        <v>3000</v>
      </c>
      <c r="M26" s="49">
        <f>VLOOKUP(G26,县域养老分档金额!$A$1:$B$5,2,1)</f>
        <v>3000</v>
      </c>
    </row>
    <row r="27" s="49" customFormat="true" ht="13.5" spans="1:13">
      <c r="A27" s="82">
        <v>26</v>
      </c>
      <c r="B27" s="82">
        <v>5</v>
      </c>
      <c r="C27" s="83" t="s">
        <v>124</v>
      </c>
      <c r="D27" s="84" t="s">
        <v>140</v>
      </c>
      <c r="E27" s="84" t="s">
        <v>22</v>
      </c>
      <c r="F27" s="84" t="s">
        <v>141</v>
      </c>
      <c r="G27" s="89">
        <f>VLOOKUP(E27,县域养老服务体系创新试点方向基础数据!$C$2:$F$42,3,0)</f>
        <v>67.12</v>
      </c>
      <c r="H27" s="90">
        <f>G27/$G$4</f>
        <v>0.0164025033563183</v>
      </c>
      <c r="I27" s="89">
        <f>VLOOKUP(E27,县域养老服务体系创新试点方向基础数据!$C$2:$F$42,4,0)</f>
        <v>5638</v>
      </c>
      <c r="J27" s="92">
        <f>I27/$I$4</f>
        <v>0.00797070862130251</v>
      </c>
      <c r="K27" s="92">
        <f t="shared" si="1"/>
        <v>0.0121866059888104</v>
      </c>
      <c r="L27" s="93">
        <v>3000</v>
      </c>
      <c r="M27" s="49">
        <f>VLOOKUP(G27,县域养老分档金额!$A$1:$B$5,2,1)</f>
        <v>3000</v>
      </c>
    </row>
    <row r="28" s="49" customFormat="true" ht="13.5" spans="1:13">
      <c r="A28" s="82">
        <v>9</v>
      </c>
      <c r="B28" s="82">
        <v>17</v>
      </c>
      <c r="C28" s="83" t="s">
        <v>102</v>
      </c>
      <c r="D28" s="84" t="s">
        <v>122</v>
      </c>
      <c r="E28" s="84" t="s">
        <v>57</v>
      </c>
      <c r="F28" s="84" t="s">
        <v>142</v>
      </c>
      <c r="G28" s="89">
        <f>VLOOKUP(E28,县域养老服务体系创新试点方向基础数据!$C$2:$F$42,3,0)</f>
        <v>61.54</v>
      </c>
      <c r="H28" s="90">
        <f>G28/$G$4</f>
        <v>0.0150388864205576</v>
      </c>
      <c r="I28" s="89">
        <f>VLOOKUP(E28,县域养老服务体系创新试点方向基础数据!$C$2:$F$42,4,0)</f>
        <v>10960</v>
      </c>
      <c r="J28" s="92">
        <f>I28/$I$4</f>
        <v>0.0154946730204817</v>
      </c>
      <c r="K28" s="92">
        <f t="shared" si="1"/>
        <v>0.0152667797205196</v>
      </c>
      <c r="L28" s="93">
        <v>3000</v>
      </c>
      <c r="M28" s="49">
        <f>VLOOKUP(G28,县域养老分档金额!$A$1:$B$5,2,1)</f>
        <v>3000</v>
      </c>
    </row>
    <row r="29" s="49" customFormat="true" ht="13.5" spans="1:13">
      <c r="A29" s="82">
        <v>2</v>
      </c>
      <c r="B29" s="82">
        <v>4</v>
      </c>
      <c r="C29" s="83" t="s">
        <v>102</v>
      </c>
      <c r="D29" s="84" t="s">
        <v>143</v>
      </c>
      <c r="E29" s="84" t="s">
        <v>20</v>
      </c>
      <c r="F29" s="84" t="s">
        <v>144</v>
      </c>
      <c r="G29" s="89">
        <f>VLOOKUP(E29,县域养老服务体系创新试点方向基础数据!$C$2:$F$42,3,0)</f>
        <v>54.433</v>
      </c>
      <c r="H29" s="90">
        <f>G29/$G$4</f>
        <v>0.0133021076459248</v>
      </c>
      <c r="I29" s="89">
        <f>VLOOKUP(E29,县域养老服务体系创新试点方向基础数据!$C$2:$F$42,4,0)</f>
        <v>1.87</v>
      </c>
      <c r="J29" s="92">
        <f>I29/$I$4</f>
        <v>2.64370789674276e-6</v>
      </c>
      <c r="K29" s="92">
        <f t="shared" si="1"/>
        <v>0.00665237567691077</v>
      </c>
      <c r="L29" s="93">
        <v>3000</v>
      </c>
      <c r="M29" s="49">
        <f>VLOOKUP(G29,县域养老分档金额!$A$1:$B$5,2,1)</f>
        <v>3000</v>
      </c>
    </row>
    <row r="30" s="49" customFormat="true" ht="13.5" spans="1:13">
      <c r="A30" s="82">
        <v>38</v>
      </c>
      <c r="B30" s="82">
        <v>19</v>
      </c>
      <c r="C30" s="83" t="s">
        <v>124</v>
      </c>
      <c r="D30" s="84" t="s">
        <v>145</v>
      </c>
      <c r="E30" s="84" t="s">
        <v>63</v>
      </c>
      <c r="F30" s="84" t="s">
        <v>146</v>
      </c>
      <c r="G30" s="89">
        <f>VLOOKUP(E30,县域养老服务体系创新试点方向基础数据!$C$2:$F$42,3,0)</f>
        <v>46</v>
      </c>
      <c r="H30" s="90">
        <f>G30/$G$4</f>
        <v>0.0112412865672026</v>
      </c>
      <c r="I30" s="89">
        <f>VLOOKUP(E30,县域养老服务体系创新试点方向基础数据!$C$2:$F$42,4,0)</f>
        <v>6700</v>
      </c>
      <c r="J30" s="92">
        <f>I30/$I$4</f>
        <v>0.00947210850704627</v>
      </c>
      <c r="K30" s="92">
        <f t="shared" si="1"/>
        <v>0.0103566975371244</v>
      </c>
      <c r="L30" s="93">
        <v>2000</v>
      </c>
      <c r="M30" s="49">
        <f>VLOOKUP(G30,县域养老分档金额!$A$1:$B$5,2,1)</f>
        <v>2000</v>
      </c>
    </row>
    <row r="31" s="49" customFormat="true" ht="13.5" spans="1:13">
      <c r="A31" s="82">
        <v>40</v>
      </c>
      <c r="B31" s="83">
        <v>24</v>
      </c>
      <c r="C31" s="83" t="s">
        <v>124</v>
      </c>
      <c r="D31" s="84" t="s">
        <v>147</v>
      </c>
      <c r="E31" s="84" t="s">
        <v>77</v>
      </c>
      <c r="F31" s="84" t="s">
        <v>148</v>
      </c>
      <c r="G31" s="89">
        <f>VLOOKUP(E31,县域养老服务体系创新试点方向基础数据!$C$2:$F$42,3,0)</f>
        <v>44.1</v>
      </c>
      <c r="H31" s="90">
        <f>G31/$G$4</f>
        <v>0.0107769725568182</v>
      </c>
      <c r="I31" s="89">
        <f>VLOOKUP(E31,县域养老服务体系创新试点方向基础数据!$C$2:$F$42,4,0)</f>
        <v>9597</v>
      </c>
      <c r="J31" s="92">
        <f>I31/$I$4</f>
        <v>0.01356773512569</v>
      </c>
      <c r="K31" s="92">
        <f t="shared" si="1"/>
        <v>0.0121723538412541</v>
      </c>
      <c r="L31" s="93">
        <v>2000</v>
      </c>
      <c r="M31" s="49">
        <f>VLOOKUP(G31,县域养老分档金额!$A$1:$B$5,2,1)</f>
        <v>2000</v>
      </c>
    </row>
    <row r="32" s="49" customFormat="true" ht="13.5" spans="1:13">
      <c r="A32" s="82">
        <v>37</v>
      </c>
      <c r="B32" s="82">
        <v>28</v>
      </c>
      <c r="C32" s="83" t="s">
        <v>124</v>
      </c>
      <c r="D32" s="84" t="s">
        <v>149</v>
      </c>
      <c r="E32" s="84" t="s">
        <v>86</v>
      </c>
      <c r="F32" s="84" t="s">
        <v>150</v>
      </c>
      <c r="G32" s="89">
        <f>VLOOKUP(E32,县域养老服务体系创新试点方向基础数据!$C$2:$F$42,3,0)</f>
        <v>43.14</v>
      </c>
      <c r="H32" s="90">
        <f>G32/$G$4</f>
        <v>0.0105423717936765</v>
      </c>
      <c r="I32" s="89">
        <f>VLOOKUP(E32,县域养老服务体系创新试点方向基础数据!$C$2:$F$42,4,0)</f>
        <v>3352</v>
      </c>
      <c r="J32" s="92">
        <f>I32/$I$4</f>
        <v>0.00473888174859986</v>
      </c>
      <c r="K32" s="92">
        <f t="shared" si="1"/>
        <v>0.0076406267711382</v>
      </c>
      <c r="L32" s="93">
        <v>2000</v>
      </c>
      <c r="M32" s="49">
        <f>VLOOKUP(G32,县域养老分档金额!$A$1:$B$5,2,1)</f>
        <v>2000</v>
      </c>
    </row>
    <row r="33" s="49" customFormat="true" ht="13.5" spans="1:13">
      <c r="A33" s="82">
        <v>39</v>
      </c>
      <c r="B33" s="82">
        <v>26</v>
      </c>
      <c r="C33" s="83" t="s">
        <v>124</v>
      </c>
      <c r="D33" s="84" t="s">
        <v>151</v>
      </c>
      <c r="E33" s="84" t="s">
        <v>82</v>
      </c>
      <c r="F33" s="84" t="s">
        <v>152</v>
      </c>
      <c r="G33" s="89">
        <f>VLOOKUP(E33,县域养老服务体系创新试点方向基础数据!$C$2:$F$42,3,0)</f>
        <v>40.73</v>
      </c>
      <c r="H33" s="90">
        <f>G33/$G$4</f>
        <v>0.0099534261278731</v>
      </c>
      <c r="I33" s="89">
        <f>VLOOKUP(E33,县域养老服务体系创新试点方向基础数据!$C$2:$F$42,4,0)</f>
        <v>3174</v>
      </c>
      <c r="J33" s="92">
        <f>I33/$I$4</f>
        <v>0.00448723468677087</v>
      </c>
      <c r="K33" s="92">
        <f t="shared" si="1"/>
        <v>0.00722033040732199</v>
      </c>
      <c r="L33" s="93">
        <v>2000</v>
      </c>
      <c r="M33" s="49">
        <f>VLOOKUP(G33,县域养老分档金额!$A$1:$B$5,2,1)</f>
        <v>2000</v>
      </c>
    </row>
    <row r="34" s="49" customFormat="true" ht="13.5" spans="1:13">
      <c r="A34" s="82">
        <v>21</v>
      </c>
      <c r="B34" s="82">
        <v>14</v>
      </c>
      <c r="C34" s="83" t="s">
        <v>105</v>
      </c>
      <c r="D34" s="84" t="s">
        <v>106</v>
      </c>
      <c r="E34" s="84" t="s">
        <v>47</v>
      </c>
      <c r="F34" s="84" t="s">
        <v>153</v>
      </c>
      <c r="G34" s="89">
        <f>VLOOKUP(E34,县域养老服务体系创新试点方向基础数据!$C$2:$F$42,3,0)</f>
        <v>39.57</v>
      </c>
      <c r="H34" s="90">
        <f>G34/$G$4</f>
        <v>0.00966995020574365</v>
      </c>
      <c r="I34" s="89">
        <f>VLOOKUP(E34,县域养老服务体系创新试点方向基础数据!$C$2:$F$42,4,0)</f>
        <v>6022</v>
      </c>
      <c r="J34" s="92">
        <f>I34/$I$4</f>
        <v>0.00851358767603472</v>
      </c>
      <c r="K34" s="92">
        <f t="shared" si="1"/>
        <v>0.00909176894088918</v>
      </c>
      <c r="L34" s="93">
        <v>2000</v>
      </c>
      <c r="M34" s="49">
        <f>VLOOKUP(G34,县域养老分档金额!$A$1:$B$5,2,1)</f>
        <v>2000</v>
      </c>
    </row>
    <row r="35" s="49" customFormat="true" ht="13.5" spans="1:13">
      <c r="A35" s="82">
        <v>5</v>
      </c>
      <c r="B35" s="82">
        <v>11</v>
      </c>
      <c r="C35" s="83" t="s">
        <v>105</v>
      </c>
      <c r="D35" s="84" t="s">
        <v>119</v>
      </c>
      <c r="E35" s="84" t="s">
        <v>36</v>
      </c>
      <c r="F35" s="84" t="s">
        <v>154</v>
      </c>
      <c r="G35" s="89">
        <f>VLOOKUP(E35,县域养老服务体系创新试点方向基础数据!$C$2:$F$42,3,0)</f>
        <v>35.41</v>
      </c>
      <c r="H35" s="90">
        <f>G35/$G$4</f>
        <v>0.00865334689879663</v>
      </c>
      <c r="I35" s="89">
        <f>VLOOKUP(E35,县域养老服务体系创新试点方向基础数据!$C$2:$F$42,4,0)</f>
        <v>1437</v>
      </c>
      <c r="J35" s="92">
        <f>I35/$I$4</f>
        <v>0.00203155521263067</v>
      </c>
      <c r="K35" s="92">
        <f t="shared" si="1"/>
        <v>0.00534245105571365</v>
      </c>
      <c r="L35" s="93">
        <v>2000</v>
      </c>
      <c r="M35" s="49">
        <f>VLOOKUP(G35,县域养老分档金额!$A$1:$B$5,2,1)</f>
        <v>2000</v>
      </c>
    </row>
    <row r="36" s="49" customFormat="true" ht="13.5" spans="1:13">
      <c r="A36" s="82">
        <v>18</v>
      </c>
      <c r="B36" s="82">
        <v>25</v>
      </c>
      <c r="C36" s="83" t="s">
        <v>124</v>
      </c>
      <c r="D36" s="84" t="s">
        <v>131</v>
      </c>
      <c r="E36" s="84" t="s">
        <v>79</v>
      </c>
      <c r="F36" s="84" t="s">
        <v>155</v>
      </c>
      <c r="G36" s="89">
        <f>VLOOKUP(E36,县域养老服务体系创新试点方向基础数据!$C$2:$F$42,3,0)</f>
        <v>33.47</v>
      </c>
      <c r="H36" s="90">
        <f>G36/$G$4</f>
        <v>0.0081792578566146</v>
      </c>
      <c r="I36" s="89">
        <f>VLOOKUP(E36,县域养老服务体系创新试点方向基础数据!$C$2:$F$42,4,0)</f>
        <v>1590</v>
      </c>
      <c r="J36" s="92">
        <f>I36/$I$4</f>
        <v>0.00224785858600053</v>
      </c>
      <c r="K36" s="92">
        <f t="shared" si="1"/>
        <v>0.00521355822130757</v>
      </c>
      <c r="L36" s="93">
        <v>2000</v>
      </c>
      <c r="M36" s="49">
        <f>VLOOKUP(G36,县域养老分档金额!$A$1:$B$5,2,1)</f>
        <v>2000</v>
      </c>
    </row>
    <row r="37" s="49" customFormat="true" ht="13.5" spans="1:13">
      <c r="A37" s="82">
        <v>32</v>
      </c>
      <c r="B37" s="82">
        <v>20</v>
      </c>
      <c r="C37" s="83" t="s">
        <v>124</v>
      </c>
      <c r="D37" s="84" t="s">
        <v>156</v>
      </c>
      <c r="E37" s="84" t="s">
        <v>67</v>
      </c>
      <c r="F37" s="84" t="s">
        <v>67</v>
      </c>
      <c r="G37" s="89">
        <f>VLOOKUP(E37,县域养老服务体系创新试点方向基础数据!$C$2:$F$42,3,0)</f>
        <v>33.15</v>
      </c>
      <c r="H37" s="90">
        <f>G37/$G$4</f>
        <v>0.00810105760223406</v>
      </c>
      <c r="I37" s="89">
        <f>VLOOKUP(E37,县域养老服务体系创新试点方向基础数据!$C$2:$F$42,4,0)</f>
        <v>6550</v>
      </c>
      <c r="J37" s="92">
        <f>I37/$I$4</f>
        <v>0.0092600463762915</v>
      </c>
      <c r="K37" s="92">
        <f t="shared" si="1"/>
        <v>0.00868055198926278</v>
      </c>
      <c r="L37" s="93">
        <v>2000</v>
      </c>
      <c r="M37" s="49">
        <f>VLOOKUP(G37,县域养老分档金额!$A$1:$B$5,2,1)</f>
        <v>2000</v>
      </c>
    </row>
    <row r="38" s="49" customFormat="true" ht="13.5" spans="1:13">
      <c r="A38" s="82">
        <v>19</v>
      </c>
      <c r="B38" s="82">
        <v>9</v>
      </c>
      <c r="C38" s="83" t="s">
        <v>105</v>
      </c>
      <c r="D38" s="84" t="s">
        <v>157</v>
      </c>
      <c r="E38" s="84" t="s">
        <v>31</v>
      </c>
      <c r="F38" s="84" t="s">
        <v>31</v>
      </c>
      <c r="G38" s="89">
        <f>VLOOKUP(E38,县域养老服务体系创新试点方向基础数据!$C$2:$F$42,3,0)</f>
        <v>27.66</v>
      </c>
      <c r="H38" s="90">
        <f>G38/$G$4</f>
        <v>0.00675943448801792</v>
      </c>
      <c r="I38" s="89">
        <f>VLOOKUP(E38,县域养老服务体系创新试点方向基础数据!$C$2:$F$42,4,0)</f>
        <v>9685</v>
      </c>
      <c r="J38" s="92">
        <f>I38/$I$4</f>
        <v>0.0136921449090661</v>
      </c>
      <c r="K38" s="92">
        <f t="shared" si="1"/>
        <v>0.010225789698542</v>
      </c>
      <c r="L38" s="93">
        <v>2000</v>
      </c>
      <c r="M38" s="49">
        <f>VLOOKUP(G38,县域养老分档金额!$A$1:$B$5,2,1)</f>
        <v>2000</v>
      </c>
    </row>
    <row r="39" s="49" customFormat="true" ht="13.5" spans="1:13">
      <c r="A39" s="82">
        <v>29</v>
      </c>
      <c r="B39" s="82">
        <v>2</v>
      </c>
      <c r="C39" s="83" t="s">
        <v>105</v>
      </c>
      <c r="D39" s="84" t="s">
        <v>158</v>
      </c>
      <c r="E39" s="84" t="s">
        <v>15</v>
      </c>
      <c r="F39" s="84" t="s">
        <v>118</v>
      </c>
      <c r="G39" s="89">
        <f>VLOOKUP(E39,县域养老服务体系创新试点方向基础数据!$C$2:$F$42,3,0)</f>
        <v>26.91</v>
      </c>
      <c r="H39" s="90">
        <f>G39/$G$4</f>
        <v>0.00657615264181353</v>
      </c>
      <c r="I39" s="89">
        <f>VLOOKUP(E39,县域养老服务体系创新试点方向基础数据!$C$2:$F$42,4,0)</f>
        <v>6181</v>
      </c>
      <c r="J39" s="92">
        <f>I39/$I$4</f>
        <v>0.00873837353463477</v>
      </c>
      <c r="K39" s="92">
        <f t="shared" si="1"/>
        <v>0.00765726308822415</v>
      </c>
      <c r="L39" s="93">
        <v>2000</v>
      </c>
      <c r="M39" s="49">
        <f>VLOOKUP(G39,县域养老分档金额!$A$1:$B$5,2,1)</f>
        <v>2000</v>
      </c>
    </row>
    <row r="40" s="49" customFormat="true" ht="13.5" spans="1:13">
      <c r="A40" s="82">
        <v>15</v>
      </c>
      <c r="B40" s="82">
        <v>13</v>
      </c>
      <c r="C40" s="83" t="s">
        <v>102</v>
      </c>
      <c r="D40" s="84" t="s">
        <v>159</v>
      </c>
      <c r="E40" s="84" t="s">
        <v>44</v>
      </c>
      <c r="F40" s="84" t="s">
        <v>160</v>
      </c>
      <c r="G40" s="89">
        <f>VLOOKUP(E40,县域养老服务体系创新试点方向基础数据!$C$2:$F$42,3,0)</f>
        <v>26.31</v>
      </c>
      <c r="H40" s="90">
        <f>G40/$G$4</f>
        <v>0.00642952716485002</v>
      </c>
      <c r="I40" s="89">
        <f>VLOOKUP(E40,县域养老服务体系创新试点方向基础数据!$C$2:$F$42,4,0)</f>
        <v>7292</v>
      </c>
      <c r="J40" s="92">
        <f>I40/$I$4</f>
        <v>0.0103090470497584</v>
      </c>
      <c r="K40" s="92">
        <f t="shared" si="1"/>
        <v>0.00836928710730422</v>
      </c>
      <c r="L40" s="93">
        <v>2000</v>
      </c>
      <c r="M40" s="49">
        <f>VLOOKUP(G40,县域养老分档金额!$A$1:$B$5,2,1)</f>
        <v>2000</v>
      </c>
    </row>
    <row r="41" s="49" customFormat="true" ht="13.5" spans="1:13">
      <c r="A41" s="82">
        <v>1</v>
      </c>
      <c r="B41" s="82">
        <v>1</v>
      </c>
      <c r="C41" s="83" t="s">
        <v>105</v>
      </c>
      <c r="D41" s="84" t="s">
        <v>161</v>
      </c>
      <c r="E41" s="84" t="s">
        <v>13</v>
      </c>
      <c r="F41" s="84" t="s">
        <v>118</v>
      </c>
      <c r="G41" s="89">
        <f>VLOOKUP(E41,县域养老服务体系创新试点方向基础数据!$C$2:$F$42,3,0)</f>
        <v>21.9</v>
      </c>
      <c r="H41" s="90">
        <f>G41/$G$4</f>
        <v>0.0053518299091682</v>
      </c>
      <c r="I41" s="89">
        <f>VLOOKUP(E41,县域养老服务体系创新试点方向基础数据!$C$2:$F$42,4,0)</f>
        <v>924</v>
      </c>
      <c r="J41" s="92">
        <f>I41/$I$4</f>
        <v>0.00130630272544937</v>
      </c>
      <c r="K41" s="92">
        <f t="shared" si="1"/>
        <v>0.00332906631730879</v>
      </c>
      <c r="L41" s="93">
        <v>2000</v>
      </c>
      <c r="M41" s="49">
        <f>VLOOKUP(G41,县域养老分档金额!$A$1:$B$5,2,1)</f>
        <v>2000</v>
      </c>
    </row>
    <row r="42" s="49" customFormat="true" ht="13.5" spans="1:13">
      <c r="A42" s="82">
        <v>33</v>
      </c>
      <c r="B42" s="82">
        <v>29</v>
      </c>
      <c r="C42" s="83" t="s">
        <v>124</v>
      </c>
      <c r="D42" s="84" t="s">
        <v>162</v>
      </c>
      <c r="E42" s="84" t="s">
        <v>88</v>
      </c>
      <c r="F42" s="84" t="s">
        <v>163</v>
      </c>
      <c r="G42" s="89">
        <f>VLOOKUP(E42,县域养老服务体系创新试点方向基础数据!$C$2:$F$42,3,0)</f>
        <v>19.9443</v>
      </c>
      <c r="H42" s="90">
        <f>G42/$G$4</f>
        <v>0.00487390416700564</v>
      </c>
      <c r="I42" s="89">
        <f>VLOOKUP(E42,县域养老服务体系创新试点方向基础数据!$C$2:$F$42,4,0)</f>
        <v>3712</v>
      </c>
      <c r="J42" s="92">
        <f>I42/$I$4</f>
        <v>0.0052478308624113</v>
      </c>
      <c r="K42" s="92">
        <f t="shared" si="1"/>
        <v>0.00506086751470847</v>
      </c>
      <c r="L42" s="93">
        <v>2000</v>
      </c>
      <c r="M42" s="49">
        <f>VLOOKUP(G42,县域养老分档金额!$A$1:$B$5,2,1)</f>
        <v>2000</v>
      </c>
    </row>
    <row r="43" s="49" customFormat="true" ht="13.5" spans="1:13">
      <c r="A43" s="82">
        <v>35</v>
      </c>
      <c r="B43" s="82">
        <v>27</v>
      </c>
      <c r="C43" s="83" t="s">
        <v>124</v>
      </c>
      <c r="D43" s="84" t="s">
        <v>164</v>
      </c>
      <c r="E43" s="84" t="s">
        <v>84</v>
      </c>
      <c r="F43" s="84" t="s">
        <v>165</v>
      </c>
      <c r="G43" s="89">
        <f>VLOOKUP(E43,县域养老服务体系创新试点方向基础数据!$C$2:$F$42,3,0)</f>
        <v>18.91</v>
      </c>
      <c r="H43" s="90">
        <f>G43/$G$4</f>
        <v>0.00462114628230003</v>
      </c>
      <c r="I43" s="89">
        <f>VLOOKUP(E43,县域养老服务体系创新试点方向基础数据!$C$2:$F$42,4,0)</f>
        <v>3505</v>
      </c>
      <c r="J43" s="92">
        <f>I43/$I$4</f>
        <v>0.00495518512196973</v>
      </c>
      <c r="K43" s="92">
        <f t="shared" si="1"/>
        <v>0.00478816570213488</v>
      </c>
      <c r="L43" s="93">
        <v>2000</v>
      </c>
      <c r="M43" s="49">
        <f>VLOOKUP(G43,县域养老分档金额!$A$1:$B$5,2,1)</f>
        <v>2000</v>
      </c>
    </row>
    <row r="44" s="49" customFormat="true" ht="13.5" spans="1:13">
      <c r="A44" s="82">
        <v>11</v>
      </c>
      <c r="B44" s="82">
        <v>20</v>
      </c>
      <c r="C44" s="83" t="s">
        <v>124</v>
      </c>
      <c r="D44" s="84" t="s">
        <v>156</v>
      </c>
      <c r="E44" s="84" t="s">
        <v>66</v>
      </c>
      <c r="F44" s="84" t="s">
        <v>66</v>
      </c>
      <c r="G44" s="89">
        <f>VLOOKUP(E44,县域养老服务体系创新试点方向基础数据!$C$2:$F$42,3,0)</f>
        <v>16.96</v>
      </c>
      <c r="H44" s="90">
        <f>G44/$G$4</f>
        <v>0.00414461348216862</v>
      </c>
      <c r="I44" s="89">
        <f>VLOOKUP(E44,县域养老服务体系创新试点方向基础数据!$C$2:$F$42,4,0)</f>
        <v>4720</v>
      </c>
      <c r="J44" s="92">
        <f>I44/$I$4</f>
        <v>0.00667288838108334</v>
      </c>
      <c r="K44" s="92">
        <f t="shared" si="1"/>
        <v>0.00540875093162598</v>
      </c>
      <c r="L44" s="93">
        <v>2000</v>
      </c>
      <c r="M44" s="49">
        <f>VLOOKUP(G44,县域养老分档金额!$A$1:$B$5,2,1)</f>
        <v>2000</v>
      </c>
    </row>
    <row r="45" ht="53" customHeight="true" spans="1:12">
      <c r="A45" s="85" t="s">
        <v>166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</row>
  </sheetData>
  <mergeCells count="2">
    <mergeCell ref="A1:L1"/>
    <mergeCell ref="A45:L4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AA47"/>
  <sheetViews>
    <sheetView zoomScale="90" zoomScaleNormal="90" workbookViewId="0">
      <pane xSplit="2" ySplit="7" topLeftCell="C34" activePane="bottomRight" state="frozen"/>
      <selection/>
      <selection pane="topRight"/>
      <selection pane="bottomLeft"/>
      <selection pane="bottomRight" activeCell="L44" sqref="L8:L44"/>
    </sheetView>
  </sheetViews>
  <sheetFormatPr defaultColWidth="9" defaultRowHeight="13.5"/>
  <cols>
    <col min="1" max="1" width="21.225" style="50" customWidth="true"/>
    <col min="2" max="2" width="15.3333333333333" style="50" customWidth="true"/>
    <col min="3" max="10" width="13.225" style="49" customWidth="true"/>
    <col min="11" max="11" width="19.5583333333333" style="49" customWidth="true"/>
    <col min="12" max="12" width="20.775" style="49" customWidth="true"/>
    <col min="13" max="13" width="13.775" style="49" customWidth="true"/>
    <col min="14" max="14" width="16.5583333333333" style="49" customWidth="true"/>
    <col min="15" max="15" width="23" style="49" customWidth="true"/>
    <col min="16" max="16" width="12" style="49" customWidth="true"/>
    <col min="17" max="17" width="14.1083333333333" style="49" customWidth="true"/>
    <col min="18" max="19" width="14.1083333333333" style="49"/>
    <col min="20" max="20" width="14.1083333333333" style="49" hidden="true" customWidth="true"/>
    <col min="21" max="21" width="16.4416666666667" style="49" hidden="true" customWidth="true"/>
    <col min="22" max="22" width="15.4416666666667" style="49" customWidth="true"/>
    <col min="23" max="23" width="12.6666666666667" style="49"/>
    <col min="24" max="24" width="14.1083333333333" style="49"/>
    <col min="25" max="25" width="19.3333333333333" style="51" customWidth="true"/>
    <col min="26" max="26" width="12.6666666666667" style="52"/>
    <col min="27" max="27" width="12.8" style="49"/>
    <col min="28" max="16384" width="9" style="49"/>
  </cols>
  <sheetData>
    <row r="1" ht="48.75" spans="1:25">
      <c r="A1" s="53" t="s">
        <v>167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73"/>
    </row>
    <row r="2" s="49" customFormat="true" ht="45" customHeight="true" spans="1:26">
      <c r="A2" s="54" t="s">
        <v>168</v>
      </c>
      <c r="B2" s="54" t="s">
        <v>169</v>
      </c>
      <c r="C2" s="54" t="s">
        <v>170</v>
      </c>
      <c r="D2" s="54"/>
      <c r="E2" s="54"/>
      <c r="F2" s="54"/>
      <c r="G2" s="54" t="s">
        <v>171</v>
      </c>
      <c r="H2" s="54"/>
      <c r="I2" s="54"/>
      <c r="J2" s="54"/>
      <c r="K2" s="54" t="s">
        <v>172</v>
      </c>
      <c r="L2" s="54" t="s">
        <v>173</v>
      </c>
      <c r="M2" s="54"/>
      <c r="N2" s="54"/>
      <c r="O2" s="54"/>
      <c r="P2" s="54"/>
      <c r="Q2" s="54"/>
      <c r="R2" s="54" t="s">
        <v>174</v>
      </c>
      <c r="S2" s="54" t="s">
        <v>175</v>
      </c>
      <c r="T2" s="54" t="s">
        <v>176</v>
      </c>
      <c r="U2" s="54"/>
      <c r="V2" s="54" t="s">
        <v>177</v>
      </c>
      <c r="W2" s="54" t="s">
        <v>178</v>
      </c>
      <c r="X2" s="54" t="s">
        <v>179</v>
      </c>
      <c r="Y2" s="54" t="s">
        <v>180</v>
      </c>
      <c r="Z2" s="54" t="s">
        <v>181</v>
      </c>
    </row>
    <row r="3" s="49" customFormat="true" ht="21" customHeight="true" spans="1:26">
      <c r="A3" s="54"/>
      <c r="B3" s="54"/>
      <c r="C3" s="54" t="s">
        <v>182</v>
      </c>
      <c r="D3" s="54" t="s">
        <v>183</v>
      </c>
      <c r="E3" s="54" t="s">
        <v>184</v>
      </c>
      <c r="F3" s="54" t="s">
        <v>183</v>
      </c>
      <c r="G3" s="54" t="s">
        <v>185</v>
      </c>
      <c r="H3" s="54" t="s">
        <v>183</v>
      </c>
      <c r="I3" s="54" t="s">
        <v>186</v>
      </c>
      <c r="J3" s="54" t="s">
        <v>183</v>
      </c>
      <c r="K3" s="54"/>
      <c r="L3" s="54" t="s">
        <v>187</v>
      </c>
      <c r="M3" s="54" t="s">
        <v>188</v>
      </c>
      <c r="N3" s="54" t="s">
        <v>183</v>
      </c>
      <c r="O3" s="54" t="s">
        <v>189</v>
      </c>
      <c r="P3" s="54" t="s">
        <v>188</v>
      </c>
      <c r="Q3" s="54" t="s">
        <v>183</v>
      </c>
      <c r="R3" s="54"/>
      <c r="S3" s="54"/>
      <c r="T3" s="54" t="s">
        <v>190</v>
      </c>
      <c r="U3" s="54" t="s">
        <v>183</v>
      </c>
      <c r="V3" s="54"/>
      <c r="W3" s="54"/>
      <c r="X3" s="54"/>
      <c r="Y3" s="54"/>
      <c r="Z3" s="54"/>
    </row>
    <row r="4" s="49" customFormat="true" ht="37.95" customHeight="true" spans="1:26">
      <c r="A4" s="5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="49" customFormat="true" ht="21" customHeight="true" spans="1:26">
      <c r="A5" s="54" t="s">
        <v>191</v>
      </c>
      <c r="B5" s="54"/>
      <c r="C5" s="20"/>
      <c r="D5" s="56">
        <v>0.2</v>
      </c>
      <c r="E5" s="54"/>
      <c r="F5" s="56">
        <v>0.3</v>
      </c>
      <c r="G5" s="54"/>
      <c r="H5" s="56">
        <v>0.2</v>
      </c>
      <c r="I5" s="20"/>
      <c r="J5" s="56">
        <v>0.3</v>
      </c>
      <c r="K5" s="56">
        <v>0.6</v>
      </c>
      <c r="L5" s="54"/>
      <c r="M5" s="54"/>
      <c r="N5" s="56">
        <v>0.4</v>
      </c>
      <c r="O5" s="54"/>
      <c r="P5" s="54"/>
      <c r="Q5" s="56">
        <v>0.6</v>
      </c>
      <c r="R5" s="56">
        <f>1-K5</f>
        <v>0.4</v>
      </c>
      <c r="S5" s="68"/>
      <c r="T5" s="54"/>
      <c r="U5" s="54"/>
      <c r="V5" s="69"/>
      <c r="W5" s="69"/>
      <c r="X5" s="54"/>
      <c r="Y5" s="74"/>
      <c r="Z5" s="74"/>
    </row>
    <row r="6" s="49" customFormat="true" ht="75" customHeight="true" spans="1:26">
      <c r="A6" s="57" t="s">
        <v>192</v>
      </c>
      <c r="B6" s="57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 t="s">
        <v>193</v>
      </c>
      <c r="L6" s="57">
        <v>10</v>
      </c>
      <c r="M6" s="57">
        <v>11</v>
      </c>
      <c r="N6" s="57">
        <v>12</v>
      </c>
      <c r="O6" s="57">
        <v>13</v>
      </c>
      <c r="P6" s="57">
        <v>14</v>
      </c>
      <c r="Q6" s="57">
        <v>15</v>
      </c>
      <c r="R6" s="57" t="s">
        <v>194</v>
      </c>
      <c r="S6" s="57" t="s">
        <v>195</v>
      </c>
      <c r="T6" s="57">
        <v>18</v>
      </c>
      <c r="U6" s="57">
        <v>19</v>
      </c>
      <c r="V6" s="57">
        <v>20</v>
      </c>
      <c r="W6" s="57">
        <v>21</v>
      </c>
      <c r="X6" s="57" t="s">
        <v>196</v>
      </c>
      <c r="Y6" s="57">
        <v>23</v>
      </c>
      <c r="Z6" s="57">
        <v>24</v>
      </c>
    </row>
    <row r="7" s="49" customFormat="true" ht="30" customHeight="true" spans="1:26">
      <c r="A7" s="114" t="s">
        <v>197</v>
      </c>
      <c r="B7" s="59"/>
      <c r="C7" s="60">
        <f t="shared" ref="C7:U7" si="0">SUM(C8:C44)</f>
        <v>89377073</v>
      </c>
      <c r="D7" s="60">
        <f t="shared" si="0"/>
        <v>100</v>
      </c>
      <c r="E7" s="60">
        <f t="shared" si="0"/>
        <v>174641145</v>
      </c>
      <c r="F7" s="60">
        <f t="shared" si="0"/>
        <v>100</v>
      </c>
      <c r="G7" s="60">
        <f t="shared" si="0"/>
        <v>1453024</v>
      </c>
      <c r="H7" s="60">
        <f t="shared" si="0"/>
        <v>100</v>
      </c>
      <c r="I7" s="60">
        <f t="shared" si="0"/>
        <v>13250993</v>
      </c>
      <c r="J7" s="60">
        <f t="shared" si="0"/>
        <v>100</v>
      </c>
      <c r="K7" s="60">
        <f t="shared" si="0"/>
        <v>60</v>
      </c>
      <c r="L7" s="60">
        <f t="shared" si="0"/>
        <v>123507</v>
      </c>
      <c r="M7" s="60">
        <f t="shared" si="0"/>
        <v>170339</v>
      </c>
      <c r="N7" s="60">
        <f t="shared" si="0"/>
        <v>100</v>
      </c>
      <c r="O7" s="60">
        <f t="shared" si="0"/>
        <v>242584</v>
      </c>
      <c r="P7" s="60">
        <f t="shared" si="0"/>
        <v>346677</v>
      </c>
      <c r="Q7" s="60">
        <f t="shared" si="0"/>
        <v>100</v>
      </c>
      <c r="R7" s="60">
        <f t="shared" si="0"/>
        <v>40</v>
      </c>
      <c r="S7" s="60">
        <f t="shared" si="0"/>
        <v>100</v>
      </c>
      <c r="T7" s="60">
        <f t="shared" si="0"/>
        <v>0</v>
      </c>
      <c r="U7" s="60" t="e">
        <f t="shared" si="0"/>
        <v>#DIV/0!</v>
      </c>
      <c r="V7" s="60"/>
      <c r="W7" s="60"/>
      <c r="X7" s="60">
        <f t="shared" ref="X7:Z7" si="1">SUM(X8:X44)</f>
        <v>132.89993784656</v>
      </c>
      <c r="Y7" s="75">
        <f t="shared" si="1"/>
        <v>20000</v>
      </c>
      <c r="Z7" s="75">
        <f t="shared" si="1"/>
        <v>10000</v>
      </c>
    </row>
    <row r="8" s="49" customFormat="true" ht="30" customHeight="true" spans="1:26">
      <c r="A8" s="61" t="s">
        <v>12</v>
      </c>
      <c r="B8" s="61" t="s">
        <v>105</v>
      </c>
      <c r="C8" s="62">
        <f>VLOOKUP(A8,老年助餐方向基础数据!$A$2:$H$38,2,0)</f>
        <v>3439742</v>
      </c>
      <c r="D8" s="63">
        <f t="shared" ref="D8:D44" si="2">C8/$C$7*100</f>
        <v>3.84857311225665</v>
      </c>
      <c r="E8" s="62">
        <f>VLOOKUP(A8,老年助餐方向基础数据!$A$2:$H$38,3,0)</f>
        <v>858848</v>
      </c>
      <c r="F8" s="20">
        <f t="shared" ref="F8:F44" si="3">E8/$E$7*100</f>
        <v>0.491778727172225</v>
      </c>
      <c r="G8" s="62">
        <f>VLOOKUP(A8,老年助餐方向基础数据!$A$2:$H$38,4,0)</f>
        <v>15072</v>
      </c>
      <c r="H8" s="20">
        <f t="shared" ref="H8:H44" si="4">G8/$G$7*100</f>
        <v>1.03728500011012</v>
      </c>
      <c r="I8" s="62">
        <f>VLOOKUP(A8,老年助餐方向基础数据!$A$2:$H$38,5,0)</f>
        <v>15008</v>
      </c>
      <c r="J8" s="20">
        <f t="shared" ref="J8:J44" si="5">I8/$I$7*100</f>
        <v>0.113259436481477</v>
      </c>
      <c r="K8" s="20">
        <f>(D8*$D$5+F8*$F$5+H8*$H$5+J8*$J$5)*$K$5</f>
        <v>0.695209842941679</v>
      </c>
      <c r="L8" s="62">
        <f>VLOOKUP(A8,老年助餐方向基础数据!$A$2:$H$38,6,0)</f>
        <v>1168</v>
      </c>
      <c r="M8" s="20">
        <f>IF(L8&lt;AVERAGE($L$8:$L$44),ROUND(AVERAGE($L$8:$L$44),0),L8)</f>
        <v>3338</v>
      </c>
      <c r="N8" s="20">
        <f t="shared" ref="N8:N44" si="6">M8/$M$7*100</f>
        <v>1.95962169556003</v>
      </c>
      <c r="O8" s="62">
        <f>VLOOKUP(A8,老年助餐方向基础数据!$A$2:$H$38,7,0)</f>
        <v>715</v>
      </c>
      <c r="P8" s="20">
        <f>IF(O8&lt;AVERAGE($O$8:$O$43),ROUND(AVERAGE($O$8:$O$43),0),O8)</f>
        <v>6931</v>
      </c>
      <c r="Q8" s="20">
        <f t="shared" ref="Q8:Q44" si="7">P8/$P$7*100</f>
        <v>1.99926732953152</v>
      </c>
      <c r="R8" s="20">
        <f>(N8*$N$5+Q8*$Q$5)*$R$5</f>
        <v>0.793363630377171</v>
      </c>
      <c r="S8" s="20">
        <f t="shared" ref="S8:S44" si="8">K8+R8</f>
        <v>1.48857347331885</v>
      </c>
      <c r="T8" s="20"/>
      <c r="U8" s="20" t="e">
        <f t="shared" ref="U8:U44" si="9">T8/$T$7*100</f>
        <v>#DIV/0!</v>
      </c>
      <c r="V8" s="70">
        <v>0.789830508474576</v>
      </c>
      <c r="W8" s="71">
        <f>1+V8/MAX($V$8:$V$44)</f>
        <v>1.35095082612762</v>
      </c>
      <c r="X8" s="20">
        <f>S8*W8</f>
        <v>2.01098956353176</v>
      </c>
      <c r="Y8" s="74">
        <f t="shared" ref="Y8:Y44" si="10">ROUND(X8/$X$7*20000,0)</f>
        <v>303</v>
      </c>
      <c r="Z8" s="74">
        <f t="shared" ref="Z8:Z44" si="11">ROUND(S8/100*10000,0)</f>
        <v>149</v>
      </c>
    </row>
    <row r="9" s="49" customFormat="true" ht="30" customHeight="true" spans="1:26">
      <c r="A9" s="61" t="s">
        <v>14</v>
      </c>
      <c r="B9" s="61" t="s">
        <v>105</v>
      </c>
      <c r="C9" s="62">
        <f>VLOOKUP(A9,老年助餐方向基础数据!$A$2:$H$38,2,0)</f>
        <v>2330050</v>
      </c>
      <c r="D9" s="63">
        <f t="shared" si="2"/>
        <v>2.60698848350068</v>
      </c>
      <c r="E9" s="62">
        <f>VLOOKUP(A9,老年助餐方向基础数据!$A$2:$H$38,3,0)</f>
        <v>672638</v>
      </c>
      <c r="F9" s="20">
        <f t="shared" si="3"/>
        <v>0.385154368977597</v>
      </c>
      <c r="G9" s="62">
        <f>VLOOKUP(A9,老年助餐方向基础数据!$A$2:$H$38,4,0)</f>
        <v>10035</v>
      </c>
      <c r="H9" s="20">
        <f t="shared" si="4"/>
        <v>0.690628647565353</v>
      </c>
      <c r="I9" s="62">
        <f>VLOOKUP(A9,老年助餐方向基础数据!$A$2:$H$38,5,0)</f>
        <v>14091</v>
      </c>
      <c r="J9" s="20">
        <f t="shared" si="5"/>
        <v>0.106339200390491</v>
      </c>
      <c r="K9" s="20">
        <f>(D9*$D$5+F9*$F$5+H9*$H$5+J9*$J$5)*$K$5</f>
        <v>0.48418289821418</v>
      </c>
      <c r="L9" s="62">
        <f>VLOOKUP(A9,老年助餐方向基础数据!$A$2:$H$38,6,0)</f>
        <v>799</v>
      </c>
      <c r="M9" s="20">
        <f t="shared" ref="M9:M44" si="12">IF(L9&lt;AVERAGE($L$8:$L$44),ROUND(AVERAGE($L$8:$L$44),0),L9)</f>
        <v>3338</v>
      </c>
      <c r="N9" s="20">
        <f t="shared" si="6"/>
        <v>1.95962169556003</v>
      </c>
      <c r="O9" s="62">
        <f>VLOOKUP(A9,老年助餐方向基础数据!$A$2:$H$38,7,0)</f>
        <v>792</v>
      </c>
      <c r="P9" s="20">
        <f t="shared" ref="P9:P43" si="13">IF(O9&lt;AVERAGE($O$8:$O$43),ROUND(AVERAGE($O$8:$O$43),0),O9)</f>
        <v>6931</v>
      </c>
      <c r="Q9" s="20">
        <f t="shared" si="7"/>
        <v>1.99926732953152</v>
      </c>
      <c r="R9" s="20">
        <f>(N9*$N$5+Q9*$Q$5)*$R$5</f>
        <v>0.793363630377171</v>
      </c>
      <c r="S9" s="20">
        <f t="shared" si="8"/>
        <v>1.27754652859135</v>
      </c>
      <c r="T9" s="20"/>
      <c r="U9" s="20" t="e">
        <f t="shared" si="9"/>
        <v>#DIV/0!</v>
      </c>
      <c r="V9" s="70">
        <v>1.08730158730159</v>
      </c>
      <c r="W9" s="71">
        <f t="shared" ref="W9:W44" si="14">1+V9/MAX($V$8:$V$44)</f>
        <v>1.48312819803623</v>
      </c>
      <c r="X9" s="20">
        <f t="shared" ref="X9:X44" si="15">S9*W9</f>
        <v>1.89476528085714</v>
      </c>
      <c r="Y9" s="74">
        <f t="shared" si="10"/>
        <v>285</v>
      </c>
      <c r="Z9" s="74">
        <f t="shared" si="11"/>
        <v>128</v>
      </c>
    </row>
    <row r="10" s="49" customFormat="true" ht="30" customHeight="true" spans="1:26">
      <c r="A10" s="61" t="s">
        <v>16</v>
      </c>
      <c r="B10" s="61" t="s">
        <v>102</v>
      </c>
      <c r="C10" s="62">
        <f>VLOOKUP(A10,老年助餐方向基础数据!$A$2:$H$38,2,0)</f>
        <v>3691313</v>
      </c>
      <c r="D10" s="63">
        <f t="shared" si="2"/>
        <v>4.13004462565025</v>
      </c>
      <c r="E10" s="62">
        <f>VLOOKUP(A10,老年助餐方向基础数据!$A$2:$H$38,3,0)</f>
        <v>11120735</v>
      </c>
      <c r="F10" s="20">
        <f t="shared" si="3"/>
        <v>6.36776345001632</v>
      </c>
      <c r="G10" s="62">
        <f>VLOOKUP(A10,老年助餐方向基础数据!$A$2:$H$38,4,0)</f>
        <v>25921</v>
      </c>
      <c r="H10" s="20">
        <f t="shared" si="4"/>
        <v>1.78393474574405</v>
      </c>
      <c r="I10" s="62">
        <f>VLOOKUP(A10,老年助餐方向基础数据!$A$2:$H$38,5,0)</f>
        <v>726373</v>
      </c>
      <c r="J10" s="20">
        <f t="shared" si="5"/>
        <v>5.48164956392325</v>
      </c>
      <c r="K10" s="20">
        <f>(D10*$D$5+F10*$F$5+H10*$H$5+J10*$J$5)*$K$5</f>
        <v>2.84257186707644</v>
      </c>
      <c r="L10" s="62">
        <f>VLOOKUP(A10,老年助餐方向基础数据!$A$2:$H$38,6,0)</f>
        <v>6137</v>
      </c>
      <c r="M10" s="20">
        <f t="shared" si="12"/>
        <v>6137</v>
      </c>
      <c r="N10" s="20">
        <f t="shared" si="6"/>
        <v>3.6028155619089</v>
      </c>
      <c r="O10" s="62">
        <f>VLOOKUP(A10,老年助餐方向基础数据!$A$2:$H$38,7,0)</f>
        <v>30218</v>
      </c>
      <c r="P10" s="20">
        <f t="shared" si="13"/>
        <v>30218</v>
      </c>
      <c r="Q10" s="20">
        <f t="shared" si="7"/>
        <v>8.71647095134664</v>
      </c>
      <c r="R10" s="20">
        <f>(N10*$N$5+Q10*$Q$5)*$R$5</f>
        <v>2.66840351822862</v>
      </c>
      <c r="S10" s="20">
        <f t="shared" si="8"/>
        <v>5.51097538530506</v>
      </c>
      <c r="T10" s="20"/>
      <c r="U10" s="20" t="e">
        <f t="shared" si="9"/>
        <v>#DIV/0!</v>
      </c>
      <c r="V10" s="70">
        <v>0.365351629502573</v>
      </c>
      <c r="W10" s="71">
        <f t="shared" si="14"/>
        <v>1.16233920420298</v>
      </c>
      <c r="X10" s="20">
        <f t="shared" si="15"/>
        <v>6.4056227437377</v>
      </c>
      <c r="Y10" s="74">
        <f t="shared" si="10"/>
        <v>964</v>
      </c>
      <c r="Z10" s="74">
        <f t="shared" si="11"/>
        <v>551</v>
      </c>
    </row>
    <row r="11" s="49" customFormat="true" ht="30" customHeight="true" spans="1:26">
      <c r="A11" s="61" t="s">
        <v>19</v>
      </c>
      <c r="B11" s="61" t="s">
        <v>102</v>
      </c>
      <c r="C11" s="62">
        <f>VLOOKUP(A11,老年助餐方向基础数据!$A$2:$H$38,2,0)</f>
        <v>1963626</v>
      </c>
      <c r="D11" s="63">
        <f t="shared" si="2"/>
        <v>2.19701309753118</v>
      </c>
      <c r="E11" s="62">
        <f>VLOOKUP(A11,老年助餐方向基础数据!$A$2:$H$38,3,0)</f>
        <v>4643399</v>
      </c>
      <c r="F11" s="20">
        <f t="shared" si="3"/>
        <v>2.658823039668</v>
      </c>
      <c r="G11" s="62">
        <f>VLOOKUP(A11,老年助餐方向基础数据!$A$2:$H$38,4,0)</f>
        <v>31706</v>
      </c>
      <c r="H11" s="20">
        <f t="shared" si="4"/>
        <v>2.18206994516264</v>
      </c>
      <c r="I11" s="62">
        <f>VLOOKUP(A11,老年助餐方向基础数据!$A$2:$H$38,5,0)</f>
        <v>512474</v>
      </c>
      <c r="J11" s="20">
        <f t="shared" si="5"/>
        <v>3.86743846291368</v>
      </c>
      <c r="K11" s="20">
        <f>(D11*$D$5+F11*$F$5+H11*$H$5+J11*$J$5)*$K$5</f>
        <v>1.70021703558796</v>
      </c>
      <c r="L11" s="62">
        <f>VLOOKUP(A11,老年助餐方向基础数据!$A$2:$H$38,6,0)</f>
        <v>1257</v>
      </c>
      <c r="M11" s="20">
        <f t="shared" si="12"/>
        <v>3338</v>
      </c>
      <c r="N11" s="20">
        <f t="shared" si="6"/>
        <v>1.95962169556003</v>
      </c>
      <c r="O11" s="62">
        <f>VLOOKUP(A11,老年助餐方向基础数据!$A$2:$H$38,7,0)</f>
        <v>7003</v>
      </c>
      <c r="P11" s="20">
        <f t="shared" si="13"/>
        <v>7003</v>
      </c>
      <c r="Q11" s="20">
        <f t="shared" si="7"/>
        <v>2.02003594123637</v>
      </c>
      <c r="R11" s="20">
        <f>(N11*$N$5+Q11*$Q$5)*$R$5</f>
        <v>0.798348097186333</v>
      </c>
      <c r="S11" s="20">
        <f t="shared" si="8"/>
        <v>2.49856513277429</v>
      </c>
      <c r="T11" s="20"/>
      <c r="U11" s="20" t="e">
        <f t="shared" si="9"/>
        <v>#DIV/0!</v>
      </c>
      <c r="V11" s="70">
        <v>0.784158415841584</v>
      </c>
      <c r="W11" s="71">
        <f t="shared" si="14"/>
        <v>1.34843050616775</v>
      </c>
      <c r="X11" s="20">
        <f t="shared" si="15"/>
        <v>3.36914144667993</v>
      </c>
      <c r="Y11" s="74">
        <f t="shared" si="10"/>
        <v>507</v>
      </c>
      <c r="Z11" s="74">
        <f t="shared" si="11"/>
        <v>250</v>
      </c>
    </row>
    <row r="12" s="49" customFormat="true" ht="30" customHeight="true" spans="1:26">
      <c r="A12" s="61" t="s">
        <v>21</v>
      </c>
      <c r="B12" s="61" t="s">
        <v>124</v>
      </c>
      <c r="C12" s="62">
        <f>VLOOKUP(A12,老年助餐方向基础数据!$A$2:$H$38,2,0)</f>
        <v>1552927</v>
      </c>
      <c r="D12" s="63">
        <f t="shared" si="2"/>
        <v>1.73750039901172</v>
      </c>
      <c r="E12" s="62">
        <f>VLOOKUP(A12,老年助餐方向基础数据!$A$2:$H$38,3,0)</f>
        <v>3204306</v>
      </c>
      <c r="F12" s="20">
        <f t="shared" si="3"/>
        <v>1.83479442945704</v>
      </c>
      <c r="G12" s="62">
        <f>VLOOKUP(A12,老年助餐方向基础数据!$A$2:$H$38,4,0)</f>
        <v>74562</v>
      </c>
      <c r="H12" s="20">
        <f t="shared" si="4"/>
        <v>5.13150505428678</v>
      </c>
      <c r="I12" s="62">
        <f>VLOOKUP(A12,老年助餐方向基础数据!$A$2:$H$38,5,0)</f>
        <v>1012853</v>
      </c>
      <c r="J12" s="20">
        <f t="shared" si="5"/>
        <v>7.64360074750624</v>
      </c>
      <c r="K12" s="20">
        <f>(D12*$D$5+F12*$F$5+H12*$H$5+J12*$J$5)*$K$5</f>
        <v>2.53039178624921</v>
      </c>
      <c r="L12" s="62">
        <f>VLOOKUP(A12,老年助餐方向基础数据!$A$2:$H$38,6,0)</f>
        <v>1377</v>
      </c>
      <c r="M12" s="20">
        <f t="shared" si="12"/>
        <v>3338</v>
      </c>
      <c r="N12" s="20">
        <f t="shared" si="6"/>
        <v>1.95962169556003</v>
      </c>
      <c r="O12" s="62">
        <f>VLOOKUP(A12,老年助餐方向基础数据!$A$2:$H$38,7,0)</f>
        <v>2039</v>
      </c>
      <c r="P12" s="20">
        <f t="shared" si="13"/>
        <v>6931</v>
      </c>
      <c r="Q12" s="20">
        <f t="shared" si="7"/>
        <v>1.99926732953152</v>
      </c>
      <c r="R12" s="20">
        <f>(N12*$N$5+Q12*$Q$5)*$R$5</f>
        <v>0.793363630377171</v>
      </c>
      <c r="S12" s="20">
        <f t="shared" si="8"/>
        <v>3.32375541662638</v>
      </c>
      <c r="T12" s="20"/>
      <c r="U12" s="20" t="e">
        <f t="shared" si="9"/>
        <v>#DIV/0!</v>
      </c>
      <c r="V12" s="70">
        <v>1.14285714285714</v>
      </c>
      <c r="W12" s="71">
        <f t="shared" si="14"/>
        <v>1.50781358041764</v>
      </c>
      <c r="X12" s="20">
        <f t="shared" si="15"/>
        <v>5.01160355517597</v>
      </c>
      <c r="Y12" s="74">
        <f t="shared" si="10"/>
        <v>754</v>
      </c>
      <c r="Z12" s="74">
        <f t="shared" si="11"/>
        <v>332</v>
      </c>
    </row>
    <row r="13" s="49" customFormat="true" ht="30" customHeight="true" spans="1:26">
      <c r="A13" s="61" t="s">
        <v>23</v>
      </c>
      <c r="B13" s="61" t="s">
        <v>105</v>
      </c>
      <c r="C13" s="62">
        <f>VLOOKUP(A13,老年助餐方向基础数据!$A$2:$H$38,2,0)</f>
        <v>4947775</v>
      </c>
      <c r="D13" s="63">
        <f t="shared" si="2"/>
        <v>5.53584362736963</v>
      </c>
      <c r="E13" s="62">
        <f>VLOOKUP(A13,老年助餐方向基础数据!$A$2:$H$38,3,0)</f>
        <v>4165502</v>
      </c>
      <c r="F13" s="20">
        <f t="shared" si="3"/>
        <v>2.38517790295065</v>
      </c>
      <c r="G13" s="62">
        <f>VLOOKUP(A13,老年助餐方向基础数据!$A$2:$H$38,4,0)</f>
        <v>49807</v>
      </c>
      <c r="H13" s="20">
        <f t="shared" si="4"/>
        <v>3.42781674631665</v>
      </c>
      <c r="I13" s="62">
        <f>VLOOKUP(A13,老年助餐方向基础数据!$A$2:$H$38,5,0)</f>
        <v>302733</v>
      </c>
      <c r="J13" s="20">
        <f t="shared" si="5"/>
        <v>2.28460614234722</v>
      </c>
      <c r="K13" s="20">
        <f>(D13*$D$5+F13*$F$5+H13*$H$5+J13*$J$5)*$K$5</f>
        <v>1.91620037299597</v>
      </c>
      <c r="L13" s="62">
        <f>VLOOKUP(A13,老年助餐方向基础数据!$A$2:$H$38,6,0)</f>
        <v>2834</v>
      </c>
      <c r="M13" s="20">
        <f t="shared" si="12"/>
        <v>3338</v>
      </c>
      <c r="N13" s="20">
        <f t="shared" si="6"/>
        <v>1.95962169556003</v>
      </c>
      <c r="O13" s="62">
        <f>VLOOKUP(A13,老年助餐方向基础数据!$A$2:$H$38,7,0)</f>
        <v>2871</v>
      </c>
      <c r="P13" s="20">
        <f t="shared" si="13"/>
        <v>6931</v>
      </c>
      <c r="Q13" s="20">
        <f t="shared" si="7"/>
        <v>1.99926732953152</v>
      </c>
      <c r="R13" s="20">
        <f>(N13*$N$5+Q13*$Q$5)*$R$5</f>
        <v>0.793363630377171</v>
      </c>
      <c r="S13" s="20">
        <f t="shared" si="8"/>
        <v>2.70956400337314</v>
      </c>
      <c r="T13" s="20"/>
      <c r="U13" s="20" t="e">
        <f t="shared" si="9"/>
        <v>#DIV/0!</v>
      </c>
      <c r="V13" s="70">
        <v>0.875</v>
      </c>
      <c r="W13" s="71">
        <f t="shared" si="14"/>
        <v>1.38879477250726</v>
      </c>
      <c r="X13" s="20">
        <f t="shared" si="15"/>
        <v>3.76302832365846</v>
      </c>
      <c r="Y13" s="74">
        <f t="shared" si="10"/>
        <v>566</v>
      </c>
      <c r="Z13" s="74">
        <f t="shared" si="11"/>
        <v>271</v>
      </c>
    </row>
    <row r="14" s="49" customFormat="true" ht="30" customHeight="true" spans="1:26">
      <c r="A14" s="61" t="s">
        <v>25</v>
      </c>
      <c r="B14" s="61" t="s">
        <v>105</v>
      </c>
      <c r="C14" s="62">
        <f>VLOOKUP(A14,老年助餐方向基础数据!$A$2:$H$38,2,0)</f>
        <v>999618</v>
      </c>
      <c r="D14" s="63">
        <f t="shared" si="2"/>
        <v>1.1184277650265</v>
      </c>
      <c r="E14" s="62">
        <f>VLOOKUP(A14,老年助餐方向基础数据!$A$2:$H$38,3,0)</f>
        <v>841572</v>
      </c>
      <c r="F14" s="20">
        <f t="shared" si="3"/>
        <v>0.481886442052358</v>
      </c>
      <c r="G14" s="62">
        <f>VLOOKUP(A14,老年助餐方向基础数据!$A$2:$H$38,4,0)</f>
        <v>3859</v>
      </c>
      <c r="H14" s="20">
        <f t="shared" si="4"/>
        <v>0.265584050917259</v>
      </c>
      <c r="I14" s="62">
        <f>VLOOKUP(A14,老年助餐方向基础数据!$A$2:$H$38,5,0)</f>
        <v>10365</v>
      </c>
      <c r="J14" s="20">
        <f t="shared" si="5"/>
        <v>0.0782205529804446</v>
      </c>
      <c r="K14" s="20">
        <f>(D14*$D$5+F14*$F$5+H14*$H$5+J14*$J$5)*$K$5</f>
        <v>0.266900677019155</v>
      </c>
      <c r="L14" s="62">
        <f>VLOOKUP(A14,老年助餐方向基础数据!$A$2:$H$38,6,0)</f>
        <v>401</v>
      </c>
      <c r="M14" s="20">
        <f t="shared" si="12"/>
        <v>3338</v>
      </c>
      <c r="N14" s="20">
        <f t="shared" si="6"/>
        <v>1.95962169556003</v>
      </c>
      <c r="O14" s="62">
        <f>VLOOKUP(A14,老年助餐方向基础数据!$A$2:$H$38,7,0)</f>
        <v>1</v>
      </c>
      <c r="P14" s="20">
        <f t="shared" si="13"/>
        <v>6931</v>
      </c>
      <c r="Q14" s="20">
        <f t="shared" si="7"/>
        <v>1.99926732953152</v>
      </c>
      <c r="R14" s="20">
        <f>(N14*$N$5+Q14*$Q$5)*$R$5</f>
        <v>0.793363630377171</v>
      </c>
      <c r="S14" s="20">
        <f t="shared" si="8"/>
        <v>1.06026430739633</v>
      </c>
      <c r="T14" s="20"/>
      <c r="U14" s="20" t="e">
        <f t="shared" si="9"/>
        <v>#DIV/0!</v>
      </c>
      <c r="V14" s="70">
        <v>0.875</v>
      </c>
      <c r="W14" s="71">
        <f t="shared" si="14"/>
        <v>1.38879477250726</v>
      </c>
      <c r="X14" s="20">
        <f t="shared" si="15"/>
        <v>1.47248952758805</v>
      </c>
      <c r="Y14" s="74">
        <f t="shared" si="10"/>
        <v>222</v>
      </c>
      <c r="Z14" s="74">
        <f t="shared" si="11"/>
        <v>106</v>
      </c>
    </row>
    <row r="15" s="49" customFormat="true" ht="30" customHeight="true" spans="1:26">
      <c r="A15" s="61" t="s">
        <v>26</v>
      </c>
      <c r="B15" s="61" t="s">
        <v>102</v>
      </c>
      <c r="C15" s="62">
        <f>VLOOKUP(A15,老年助餐方向基础数据!$A$2:$H$38,2,0)</f>
        <v>2186384</v>
      </c>
      <c r="D15" s="63">
        <f t="shared" si="2"/>
        <v>2.44624703697782</v>
      </c>
      <c r="E15" s="62">
        <f>VLOOKUP(A15,老年助餐方向基础数据!$A$2:$H$38,3,0)</f>
        <v>3364781</v>
      </c>
      <c r="F15" s="20">
        <f t="shared" si="3"/>
        <v>1.92668285586424</v>
      </c>
      <c r="G15" s="62">
        <f>VLOOKUP(A15,老年助餐方向基础数据!$A$2:$H$38,4,0)</f>
        <v>94292</v>
      </c>
      <c r="H15" s="20">
        <f t="shared" si="4"/>
        <v>6.48936287356575</v>
      </c>
      <c r="I15" s="62">
        <f>VLOOKUP(A15,老年助餐方向基础数据!$A$2:$H$38,5,0)</f>
        <v>303178</v>
      </c>
      <c r="J15" s="20">
        <f t="shared" si="5"/>
        <v>2.28796438123543</v>
      </c>
      <c r="K15" s="20">
        <f>(D15*$D$5+F15*$F$5+H15*$H$5+J15*$J$5)*$K$5</f>
        <v>1.83090969194317</v>
      </c>
      <c r="L15" s="62">
        <f>VLOOKUP(A15,老年助餐方向基础数据!$A$2:$H$38,6,0)</f>
        <v>1605</v>
      </c>
      <c r="M15" s="20">
        <f t="shared" si="12"/>
        <v>3338</v>
      </c>
      <c r="N15" s="20">
        <f t="shared" si="6"/>
        <v>1.95962169556003</v>
      </c>
      <c r="O15" s="62">
        <f>VLOOKUP(A15,老年助餐方向基础数据!$A$2:$H$38,7,0)</f>
        <v>2430</v>
      </c>
      <c r="P15" s="20">
        <f t="shared" si="13"/>
        <v>6931</v>
      </c>
      <c r="Q15" s="20">
        <f t="shared" si="7"/>
        <v>1.99926732953152</v>
      </c>
      <c r="R15" s="20">
        <f>(N15*$N$5+Q15*$Q$5)*$R$5</f>
        <v>0.793363630377171</v>
      </c>
      <c r="S15" s="20">
        <f t="shared" si="8"/>
        <v>2.62427332232034</v>
      </c>
      <c r="T15" s="20"/>
      <c r="U15" s="20" t="e">
        <f t="shared" si="9"/>
        <v>#DIV/0!</v>
      </c>
      <c r="V15" s="70">
        <v>1.15047619047619</v>
      </c>
      <c r="W15" s="71">
        <f t="shared" si="14"/>
        <v>1.5111990042871</v>
      </c>
      <c r="X15" s="20">
        <f t="shared" si="15"/>
        <v>3.96579923166768</v>
      </c>
      <c r="Y15" s="74">
        <f t="shared" si="10"/>
        <v>597</v>
      </c>
      <c r="Z15" s="74">
        <f t="shared" si="11"/>
        <v>262</v>
      </c>
    </row>
    <row r="16" s="49" customFormat="true" ht="30" customHeight="true" spans="1:26">
      <c r="A16" s="61" t="s">
        <v>28</v>
      </c>
      <c r="B16" s="61" t="s">
        <v>102</v>
      </c>
      <c r="C16" s="62">
        <f>VLOOKUP(A16,老年助餐方向基础数据!$A$2:$H$38,2,0)</f>
        <v>3163809</v>
      </c>
      <c r="D16" s="63">
        <f t="shared" si="2"/>
        <v>3.53984404926753</v>
      </c>
      <c r="E16" s="62">
        <f>VLOOKUP(A16,老年助餐方向基础数据!$A$2:$H$38,3,0)</f>
        <v>4231881</v>
      </c>
      <c r="F16" s="20">
        <f t="shared" si="3"/>
        <v>2.42318670093465</v>
      </c>
      <c r="G16" s="62">
        <f>VLOOKUP(A16,老年助餐方向基础数据!$A$2:$H$38,4,0)</f>
        <v>104079</v>
      </c>
      <c r="H16" s="20">
        <f t="shared" si="4"/>
        <v>7.16292366815689</v>
      </c>
      <c r="I16" s="62">
        <f>VLOOKUP(A16,老年助餐方向基础数据!$A$2:$H$38,5,0)</f>
        <v>602190</v>
      </c>
      <c r="J16" s="20">
        <f t="shared" si="5"/>
        <v>4.54448960919382</v>
      </c>
      <c r="K16" s="20">
        <f>(D16*$D$5+F16*$F$5+H16*$H$5+J16*$J$5)*$K$5</f>
        <v>2.53851386191406</v>
      </c>
      <c r="L16" s="62">
        <f>VLOOKUP(A16,老年助餐方向基础数据!$A$2:$H$38,6,0)</f>
        <v>4479</v>
      </c>
      <c r="M16" s="20">
        <f t="shared" si="12"/>
        <v>4479</v>
      </c>
      <c r="N16" s="20">
        <f t="shared" si="6"/>
        <v>2.62946242492911</v>
      </c>
      <c r="O16" s="62">
        <f>VLOOKUP(A16,老年助餐方向基础数据!$A$2:$H$38,7,0)</f>
        <v>3594</v>
      </c>
      <c r="P16" s="20">
        <f t="shared" si="13"/>
        <v>6931</v>
      </c>
      <c r="Q16" s="20">
        <f t="shared" si="7"/>
        <v>1.99926732953152</v>
      </c>
      <c r="R16" s="20">
        <f>(N16*$N$5+Q16*$Q$5)*$R$5</f>
        <v>0.900538147076223</v>
      </c>
      <c r="S16" s="20">
        <f t="shared" si="8"/>
        <v>3.43905200899028</v>
      </c>
      <c r="T16" s="20"/>
      <c r="U16" s="20" t="e">
        <f t="shared" si="9"/>
        <v>#DIV/0!</v>
      </c>
      <c r="V16" s="70">
        <v>0.588597842835131</v>
      </c>
      <c r="W16" s="71">
        <f t="shared" si="14"/>
        <v>1.26153573074668</v>
      </c>
      <c r="X16" s="20">
        <f t="shared" si="15"/>
        <v>4.3384869892374</v>
      </c>
      <c r="Y16" s="74">
        <f t="shared" si="10"/>
        <v>653</v>
      </c>
      <c r="Z16" s="74">
        <f t="shared" si="11"/>
        <v>344</v>
      </c>
    </row>
    <row r="17" s="49" customFormat="true" ht="30" customHeight="true" spans="1:26">
      <c r="A17" s="61" t="s">
        <v>30</v>
      </c>
      <c r="B17" s="61" t="s">
        <v>105</v>
      </c>
      <c r="C17" s="62">
        <f>VLOOKUP(A17,老年助餐方向基础数据!$A$2:$H$38,2,0)</f>
        <v>4684475</v>
      </c>
      <c r="D17" s="63">
        <f t="shared" si="2"/>
        <v>5.24124906171407</v>
      </c>
      <c r="E17" s="62">
        <f>VLOOKUP(A17,老年助餐方向基础数据!$A$2:$H$38,3,0)</f>
        <v>1130987</v>
      </c>
      <c r="F17" s="20">
        <f t="shared" si="3"/>
        <v>0.647606267125654</v>
      </c>
      <c r="G17" s="62">
        <f>VLOOKUP(A17,老年助餐方向基础数据!$A$2:$H$38,4,0)</f>
        <v>11618</v>
      </c>
      <c r="H17" s="20">
        <f t="shared" si="4"/>
        <v>0.799573854251547</v>
      </c>
      <c r="I17" s="62">
        <f>VLOOKUP(A17,老年助餐方向基础数据!$A$2:$H$38,5,0)</f>
        <v>15373</v>
      </c>
      <c r="J17" s="20">
        <f t="shared" si="5"/>
        <v>0.116013947030234</v>
      </c>
      <c r="K17" s="20">
        <f>(D17*$D$5+F17*$F$5+H17*$H$5+J17*$J$5)*$K$5</f>
        <v>0.862350388463934</v>
      </c>
      <c r="L17" s="62">
        <f>VLOOKUP(A17,老年助餐方向基础数据!$A$2:$H$38,6,0)</f>
        <v>9392</v>
      </c>
      <c r="M17" s="20">
        <f t="shared" si="12"/>
        <v>9392</v>
      </c>
      <c r="N17" s="20">
        <f t="shared" si="6"/>
        <v>5.51371089415812</v>
      </c>
      <c r="O17" s="62">
        <f>VLOOKUP(A17,老年助餐方向基础数据!$A$2:$H$38,7,0)</f>
        <v>4432</v>
      </c>
      <c r="P17" s="20">
        <f t="shared" si="13"/>
        <v>6931</v>
      </c>
      <c r="Q17" s="20">
        <f t="shared" si="7"/>
        <v>1.99926732953152</v>
      </c>
      <c r="R17" s="20">
        <f>(N17*$N$5+Q17*$Q$5)*$R$5</f>
        <v>1.36201790215287</v>
      </c>
      <c r="S17" s="20">
        <f t="shared" si="8"/>
        <v>2.2243682906168</v>
      </c>
      <c r="T17" s="20"/>
      <c r="U17" s="20" t="e">
        <f t="shared" si="9"/>
        <v>#DIV/0!</v>
      </c>
      <c r="V17" s="70">
        <v>0.201342281879195</v>
      </c>
      <c r="W17" s="71">
        <f t="shared" si="14"/>
        <v>1.08946380191922</v>
      </c>
      <c r="X17" s="20">
        <f t="shared" si="15"/>
        <v>2.42336873476393</v>
      </c>
      <c r="Y17" s="74">
        <f t="shared" si="10"/>
        <v>365</v>
      </c>
      <c r="Z17" s="74">
        <f t="shared" si="11"/>
        <v>222</v>
      </c>
    </row>
    <row r="18" s="49" customFormat="true" ht="30" customHeight="true" spans="1:26">
      <c r="A18" s="61" t="s">
        <v>32</v>
      </c>
      <c r="B18" s="61" t="s">
        <v>105</v>
      </c>
      <c r="C18" s="62">
        <f>VLOOKUP(A18,老年助餐方向基础数据!$A$2:$H$38,2,0)</f>
        <v>6959821</v>
      </c>
      <c r="D18" s="63">
        <f t="shared" si="2"/>
        <v>7.78703169212086</v>
      </c>
      <c r="E18" s="62">
        <f>VLOOKUP(A18,老年助餐方向基础数据!$A$2:$H$38,3,0)</f>
        <v>11545524</v>
      </c>
      <c r="F18" s="20">
        <f t="shared" si="3"/>
        <v>6.61099879985327</v>
      </c>
      <c r="G18" s="62">
        <f>VLOOKUP(A18,老年助餐方向基础数据!$A$2:$H$38,4,0)</f>
        <v>22551</v>
      </c>
      <c r="H18" s="20">
        <f t="shared" si="4"/>
        <v>1.55200464686062</v>
      </c>
      <c r="I18" s="62">
        <f>VLOOKUP(A18,老年助餐方向基础数据!$A$2:$H$38,5,0)</f>
        <v>229618</v>
      </c>
      <c r="J18" s="20">
        <f t="shared" si="5"/>
        <v>1.73283617310793</v>
      </c>
      <c r="K18" s="20">
        <f>(D18*$D$5+F18*$F$5+H18*$H$5+J18*$J$5)*$K$5</f>
        <v>2.62257465581079</v>
      </c>
      <c r="L18" s="62">
        <f>VLOOKUP(A18,老年助餐方向基础数据!$A$2:$H$38,6,0)</f>
        <v>8210</v>
      </c>
      <c r="M18" s="20">
        <f t="shared" si="12"/>
        <v>8210</v>
      </c>
      <c r="N18" s="20">
        <f t="shared" si="6"/>
        <v>4.81980051544273</v>
      </c>
      <c r="O18" s="62">
        <f>VLOOKUP(A18,老年助餐方向基础数据!$A$2:$H$38,7,0)</f>
        <v>9411</v>
      </c>
      <c r="P18" s="20">
        <f t="shared" si="13"/>
        <v>9411</v>
      </c>
      <c r="Q18" s="20">
        <f t="shared" si="7"/>
        <v>2.71463062158724</v>
      </c>
      <c r="R18" s="20">
        <f>(N18*$N$5+Q18*$Q$5)*$R$5</f>
        <v>1.42267943165178</v>
      </c>
      <c r="S18" s="20">
        <f t="shared" si="8"/>
        <v>4.04525408746257</v>
      </c>
      <c r="T18" s="20"/>
      <c r="U18" s="20" t="e">
        <f t="shared" si="9"/>
        <v>#DIV/0!</v>
      </c>
      <c r="V18" s="70">
        <v>0.682926829268293</v>
      </c>
      <c r="W18" s="71">
        <f t="shared" si="14"/>
        <v>1.30344957854225</v>
      </c>
      <c r="X18" s="20">
        <f t="shared" si="15"/>
        <v>5.27278473539941</v>
      </c>
      <c r="Y18" s="74">
        <f t="shared" si="10"/>
        <v>793</v>
      </c>
      <c r="Z18" s="74">
        <f t="shared" si="11"/>
        <v>405</v>
      </c>
    </row>
    <row r="19" s="49" customFormat="true" ht="30" customHeight="true" spans="1:26">
      <c r="A19" s="61" t="s">
        <v>35</v>
      </c>
      <c r="B19" s="61" t="s">
        <v>105</v>
      </c>
      <c r="C19" s="62">
        <f>VLOOKUP(A19,老年助餐方向基础数据!$A$2:$H$38,2,0)</f>
        <v>4066759</v>
      </c>
      <c r="D19" s="63">
        <f t="shared" si="2"/>
        <v>4.55011432294275</v>
      </c>
      <c r="E19" s="62">
        <f>VLOOKUP(A19,老年助餐方向基础数据!$A$2:$H$38,3,0)</f>
        <v>6303359</v>
      </c>
      <c r="F19" s="20">
        <f t="shared" si="3"/>
        <v>3.60932070160213</v>
      </c>
      <c r="G19" s="62">
        <f>VLOOKUP(A19,老年助餐方向基础数据!$A$2:$H$38,4,0)</f>
        <v>9225</v>
      </c>
      <c r="H19" s="20">
        <f t="shared" si="4"/>
        <v>0.634882837447971</v>
      </c>
      <c r="I19" s="62">
        <f>VLOOKUP(A19,老年助餐方向基础数据!$A$2:$H$38,5,0)</f>
        <v>189150</v>
      </c>
      <c r="J19" s="20">
        <f t="shared" si="5"/>
        <v>1.42744019259538</v>
      </c>
      <c r="K19" s="20">
        <f>(D19*$D$5+F19*$F$5+H19*$H$5+J19*$J$5)*$K$5</f>
        <v>1.52881662020244</v>
      </c>
      <c r="L19" s="62">
        <f>VLOOKUP(A19,老年助餐方向基础数据!$A$2:$H$38,6,0)</f>
        <v>7855</v>
      </c>
      <c r="M19" s="20">
        <f t="shared" si="12"/>
        <v>7855</v>
      </c>
      <c r="N19" s="20">
        <f t="shared" si="6"/>
        <v>4.61139257598084</v>
      </c>
      <c r="O19" s="62">
        <f>VLOOKUP(A19,老年助餐方向基础数据!$A$2:$H$38,7,0)</f>
        <v>18006</v>
      </c>
      <c r="P19" s="20">
        <f t="shared" si="13"/>
        <v>18006</v>
      </c>
      <c r="Q19" s="20">
        <f t="shared" si="7"/>
        <v>5.19388364385292</v>
      </c>
      <c r="R19" s="20">
        <f>(N19*$N$5+Q19*$Q$5)*$R$5</f>
        <v>1.98435488668164</v>
      </c>
      <c r="S19" s="20">
        <f t="shared" si="8"/>
        <v>3.51317150688407</v>
      </c>
      <c r="T19" s="20"/>
      <c r="U19" s="20" t="e">
        <f t="shared" si="9"/>
        <v>#DIV/0!</v>
      </c>
      <c r="V19" s="70">
        <v>0.32</v>
      </c>
      <c r="W19" s="71">
        <f t="shared" si="14"/>
        <v>1.14218780251694</v>
      </c>
      <c r="X19" s="20">
        <f t="shared" si="15"/>
        <v>4.01270164331305</v>
      </c>
      <c r="Y19" s="74">
        <f t="shared" si="10"/>
        <v>604</v>
      </c>
      <c r="Z19" s="74">
        <f t="shared" si="11"/>
        <v>351</v>
      </c>
    </row>
    <row r="20" s="49" customFormat="true" ht="30" customHeight="true" spans="1:26">
      <c r="A20" s="61" t="s">
        <v>37</v>
      </c>
      <c r="B20" s="61" t="s">
        <v>105</v>
      </c>
      <c r="C20" s="62">
        <f>VLOOKUP(A20,老年助餐方向基础数据!$A$2:$H$38,2,0)</f>
        <v>667680</v>
      </c>
      <c r="D20" s="63">
        <f t="shared" si="2"/>
        <v>0.747037218370308</v>
      </c>
      <c r="E20" s="62">
        <f>VLOOKUP(A20,老年助餐方向基础数据!$A$2:$H$38,3,0)</f>
        <v>1034886</v>
      </c>
      <c r="F20" s="20">
        <f t="shared" si="3"/>
        <v>0.592578570187455</v>
      </c>
      <c r="G20" s="62">
        <f>VLOOKUP(A20,老年助餐方向基础数据!$A$2:$H$38,4,0)</f>
        <v>1897</v>
      </c>
      <c r="H20" s="20">
        <f t="shared" si="4"/>
        <v>0.130555310855155</v>
      </c>
      <c r="I20" s="62">
        <f>VLOOKUP(A20,老年助餐方向基础数据!$A$2:$H$38,5,0)</f>
        <v>23698</v>
      </c>
      <c r="J20" s="20">
        <f t="shared" si="5"/>
        <v>0.178839427354614</v>
      </c>
      <c r="K20" s="20">
        <f>(D20*$D$5+F20*$F$5+H20*$H$5+J20*$J$5)*$K$5</f>
        <v>0.244166343064628</v>
      </c>
      <c r="L20" s="62">
        <f>VLOOKUP(A20,老年助餐方向基础数据!$A$2:$H$38,6,0)</f>
        <v>2577</v>
      </c>
      <c r="M20" s="20">
        <f t="shared" si="12"/>
        <v>3338</v>
      </c>
      <c r="N20" s="20">
        <f t="shared" si="6"/>
        <v>1.95962169556003</v>
      </c>
      <c r="O20" s="62">
        <f>VLOOKUP(A20,老年助餐方向基础数据!$A$2:$H$38,7,0)</f>
        <v>1089</v>
      </c>
      <c r="P20" s="20">
        <f t="shared" si="13"/>
        <v>6931</v>
      </c>
      <c r="Q20" s="20">
        <f t="shared" si="7"/>
        <v>1.99926732953152</v>
      </c>
      <c r="R20" s="20">
        <f>(N20*$N$5+Q20*$Q$5)*$R$5</f>
        <v>0.793363630377171</v>
      </c>
      <c r="S20" s="20">
        <f t="shared" si="8"/>
        <v>1.0375299734418</v>
      </c>
      <c r="T20" s="20"/>
      <c r="U20" s="20" t="e">
        <f t="shared" si="9"/>
        <v>#DIV/0!</v>
      </c>
      <c r="V20" s="70">
        <v>0.32</v>
      </c>
      <c r="W20" s="71">
        <f t="shared" si="14"/>
        <v>1.14218780251694</v>
      </c>
      <c r="X20" s="20">
        <f t="shared" si="15"/>
        <v>1.18505408041095</v>
      </c>
      <c r="Y20" s="74">
        <f t="shared" si="10"/>
        <v>178</v>
      </c>
      <c r="Z20" s="74">
        <f t="shared" si="11"/>
        <v>104</v>
      </c>
    </row>
    <row r="21" s="49" customFormat="true" ht="30" customHeight="true" spans="1:26">
      <c r="A21" s="61" t="s">
        <v>39</v>
      </c>
      <c r="B21" s="61" t="s">
        <v>102</v>
      </c>
      <c r="C21" s="62">
        <f>VLOOKUP(A21,老年助餐方向基础数据!$A$2:$H$38,2,0)</f>
        <v>2397479</v>
      </c>
      <c r="D21" s="63">
        <f t="shared" si="2"/>
        <v>2.68243176860357</v>
      </c>
      <c r="E21" s="62">
        <f>VLOOKUP(A21,老年助餐方向基础数据!$A$2:$H$38,3,0)</f>
        <v>9071757</v>
      </c>
      <c r="F21" s="20">
        <f t="shared" si="3"/>
        <v>5.19451301123799</v>
      </c>
      <c r="G21" s="62">
        <f>VLOOKUP(A21,老年助餐方向基础数据!$A$2:$H$38,4,0)</f>
        <v>82572</v>
      </c>
      <c r="H21" s="20">
        <f t="shared" si="4"/>
        <v>5.68276917655868</v>
      </c>
      <c r="I21" s="62">
        <f>VLOOKUP(A21,老年助餐方向基础数据!$A$2:$H$38,5,0)</f>
        <v>652198</v>
      </c>
      <c r="J21" s="20">
        <f t="shared" si="5"/>
        <v>4.9218801941862</v>
      </c>
      <c r="K21" s="20">
        <f>(D21*$D$5+F21*$F$5+H21*$H$5+J21*$J$5)*$K$5</f>
        <v>2.82477489039582</v>
      </c>
      <c r="L21" s="62">
        <f>VLOOKUP(A21,老年助餐方向基础数据!$A$2:$H$38,6,0)</f>
        <v>3456</v>
      </c>
      <c r="M21" s="20">
        <f t="shared" si="12"/>
        <v>3456</v>
      </c>
      <c r="N21" s="20">
        <f t="shared" si="6"/>
        <v>2.02889532050793</v>
      </c>
      <c r="O21" s="62">
        <f>VLOOKUP(A21,老年助餐方向基础数据!$A$2:$H$38,7,0)</f>
        <v>5456</v>
      </c>
      <c r="P21" s="20">
        <f t="shared" si="13"/>
        <v>6931</v>
      </c>
      <c r="Q21" s="20">
        <f t="shared" si="7"/>
        <v>1.99926732953152</v>
      </c>
      <c r="R21" s="20">
        <f>(N21*$N$5+Q21*$Q$5)*$R$5</f>
        <v>0.804447410368834</v>
      </c>
      <c r="S21" s="20">
        <f t="shared" si="8"/>
        <v>3.62922230076466</v>
      </c>
      <c r="T21" s="20"/>
      <c r="U21" s="20" t="e">
        <f t="shared" si="9"/>
        <v>#DIV/0!</v>
      </c>
      <c r="V21" s="70">
        <v>0.733333333333333</v>
      </c>
      <c r="W21" s="71">
        <f t="shared" si="14"/>
        <v>1.32584704743466</v>
      </c>
      <c r="X21" s="20">
        <f t="shared" si="15"/>
        <v>4.81179367195283</v>
      </c>
      <c r="Y21" s="74">
        <f t="shared" si="10"/>
        <v>724</v>
      </c>
      <c r="Z21" s="74">
        <f t="shared" si="11"/>
        <v>363</v>
      </c>
    </row>
    <row r="22" s="49" customFormat="true" ht="30" customHeight="true" spans="1:26">
      <c r="A22" s="61" t="s">
        <v>41</v>
      </c>
      <c r="B22" s="61" t="s">
        <v>105</v>
      </c>
      <c r="C22" s="62">
        <f>VLOOKUP(A22,老年助餐方向基础数据!$A$2:$H$38,2,0)</f>
        <v>1921102</v>
      </c>
      <c r="D22" s="63">
        <f t="shared" si="2"/>
        <v>2.14943490037988</v>
      </c>
      <c r="E22" s="62">
        <f>VLOOKUP(A22,老年助餐方向基础数据!$A$2:$H$38,3,0)</f>
        <v>4223188</v>
      </c>
      <c r="F22" s="20">
        <f t="shared" si="3"/>
        <v>2.41820906522343</v>
      </c>
      <c r="G22" s="62">
        <f>VLOOKUP(A22,老年助餐方向基础数据!$A$2:$H$38,4,0)</f>
        <v>15724</v>
      </c>
      <c r="H22" s="20">
        <f t="shared" si="4"/>
        <v>1.08215693615522</v>
      </c>
      <c r="I22" s="62">
        <f>VLOOKUP(A22,老年助餐方向基础数据!$A$2:$H$38,5,0)</f>
        <v>147626</v>
      </c>
      <c r="J22" s="20">
        <f t="shared" si="5"/>
        <v>1.11407499800204</v>
      </c>
      <c r="K22" s="20">
        <f>(D22*$D$5+F22*$F$5+H22*$H$5+J22*$J$5)*$K$5</f>
        <v>1.0236021517648</v>
      </c>
      <c r="L22" s="62">
        <f>VLOOKUP(A22,老年助餐方向基础数据!$A$2:$H$38,6,0)</f>
        <v>4018</v>
      </c>
      <c r="M22" s="20">
        <f t="shared" si="12"/>
        <v>4018</v>
      </c>
      <c r="N22" s="20">
        <f t="shared" si="6"/>
        <v>2.35882563593775</v>
      </c>
      <c r="O22" s="62">
        <f>VLOOKUP(A22,老年助餐方向基础数据!$A$2:$H$38,7,0)</f>
        <v>14017</v>
      </c>
      <c r="P22" s="20">
        <f t="shared" si="13"/>
        <v>14017</v>
      </c>
      <c r="Q22" s="20">
        <f t="shared" si="7"/>
        <v>4.04324486481653</v>
      </c>
      <c r="R22" s="20">
        <f>(N22*$N$5+Q22*$Q$5)*$R$5</f>
        <v>1.34779086930601</v>
      </c>
      <c r="S22" s="20">
        <f t="shared" si="8"/>
        <v>2.3713930210708</v>
      </c>
      <c r="T22" s="20"/>
      <c r="U22" s="20" t="e">
        <f t="shared" si="9"/>
        <v>#DIV/0!</v>
      </c>
      <c r="V22" s="70">
        <v>0.948995363214838</v>
      </c>
      <c r="W22" s="71">
        <f t="shared" si="14"/>
        <v>1.42167364154464</v>
      </c>
      <c r="X22" s="20">
        <f t="shared" si="15"/>
        <v>3.37134695179927</v>
      </c>
      <c r="Y22" s="74">
        <f t="shared" si="10"/>
        <v>507</v>
      </c>
      <c r="Z22" s="74">
        <f t="shared" si="11"/>
        <v>237</v>
      </c>
    </row>
    <row r="23" s="49" customFormat="true" ht="30" customHeight="true" spans="1:26">
      <c r="A23" s="61" t="s">
        <v>42</v>
      </c>
      <c r="B23" s="61" t="s">
        <v>105</v>
      </c>
      <c r="C23" s="62">
        <f>VLOOKUP(A23,老年助餐方向基础数据!$A$2:$H$38,2,0)</f>
        <v>154325</v>
      </c>
      <c r="D23" s="63">
        <f t="shared" si="2"/>
        <v>0.172667323755389</v>
      </c>
      <c r="E23" s="62">
        <f>VLOOKUP(A23,老年助餐方向基础数据!$A$2:$H$38,3,0)</f>
        <v>339254</v>
      </c>
      <c r="F23" s="20">
        <f t="shared" si="3"/>
        <v>0.194257773561895</v>
      </c>
      <c r="G23" s="62">
        <f>VLOOKUP(A23,老年助餐方向基础数据!$A$2:$H$38,4,0)</f>
        <v>1342</v>
      </c>
      <c r="H23" s="20">
        <f t="shared" si="4"/>
        <v>0.0923591076265774</v>
      </c>
      <c r="I23" s="62">
        <f>VLOOKUP(A23,老年助餐方向基础数据!$A$2:$H$38,5,0)</f>
        <v>727</v>
      </c>
      <c r="J23" s="20">
        <f t="shared" si="5"/>
        <v>0.00548638128478371</v>
      </c>
      <c r="K23" s="20">
        <f>(D23*$D$5+F23*$F$5+H23*$H$5+J23*$J$5)*$K$5</f>
        <v>0.067757119638238</v>
      </c>
      <c r="L23" s="62">
        <f>VLOOKUP(A23,老年助餐方向基础数据!$A$2:$H$38,6,0)</f>
        <v>508</v>
      </c>
      <c r="M23" s="20">
        <f t="shared" si="12"/>
        <v>3338</v>
      </c>
      <c r="N23" s="20">
        <f t="shared" si="6"/>
        <v>1.95962169556003</v>
      </c>
      <c r="O23" s="62">
        <f>VLOOKUP(A23,老年助餐方向基础数据!$A$2:$H$38,7,0)</f>
        <v>171</v>
      </c>
      <c r="P23" s="20">
        <f t="shared" si="13"/>
        <v>6931</v>
      </c>
      <c r="Q23" s="20">
        <f t="shared" si="7"/>
        <v>1.99926732953152</v>
      </c>
      <c r="R23" s="20">
        <f>(N23*$N$5+Q23*$Q$5)*$R$5</f>
        <v>0.793363630377171</v>
      </c>
      <c r="S23" s="20">
        <f t="shared" si="8"/>
        <v>0.861120750015409</v>
      </c>
      <c r="T23" s="20"/>
      <c r="U23" s="20" t="e">
        <f t="shared" si="9"/>
        <v>#DIV/0!</v>
      </c>
      <c r="V23" s="70">
        <v>0.948995363214838</v>
      </c>
      <c r="W23" s="71">
        <f t="shared" si="14"/>
        <v>1.42167364154464</v>
      </c>
      <c r="X23" s="20">
        <f t="shared" si="15"/>
        <v>1.22423267248406</v>
      </c>
      <c r="Y23" s="74">
        <f t="shared" si="10"/>
        <v>184</v>
      </c>
      <c r="Z23" s="74">
        <f t="shared" si="11"/>
        <v>86</v>
      </c>
    </row>
    <row r="24" s="49" customFormat="true" ht="30" customHeight="true" spans="1:26">
      <c r="A24" s="61" t="s">
        <v>43</v>
      </c>
      <c r="B24" s="61" t="s">
        <v>102</v>
      </c>
      <c r="C24" s="62">
        <f>VLOOKUP(A24,老年助餐方向基础数据!$A$2:$H$38,2,0)</f>
        <v>1862461</v>
      </c>
      <c r="D24" s="63">
        <f t="shared" si="2"/>
        <v>2.08382411449075</v>
      </c>
      <c r="E24" s="62">
        <f>VLOOKUP(A24,老年助餐方向基础数据!$A$2:$H$38,3,0)</f>
        <v>5762320</v>
      </c>
      <c r="F24" s="20">
        <f t="shared" si="3"/>
        <v>3.29952028200456</v>
      </c>
      <c r="G24" s="62">
        <f>VLOOKUP(A24,老年助餐方向基础数据!$A$2:$H$38,4,0)</f>
        <v>38795</v>
      </c>
      <c r="H24" s="20">
        <f t="shared" si="4"/>
        <v>2.66994901667144</v>
      </c>
      <c r="I24" s="62">
        <f>VLOOKUP(A24,老年助餐方向基础数据!$A$2:$H$38,5,0)</f>
        <v>455196</v>
      </c>
      <c r="J24" s="20">
        <f t="shared" si="5"/>
        <v>3.43518406507346</v>
      </c>
      <c r="K24" s="20">
        <f>(D24*$D$5+F24*$F$5+H24*$H$5+J24*$J$5)*$K$5</f>
        <v>1.78269955821351</v>
      </c>
      <c r="L24" s="62">
        <f>VLOOKUP(A24,老年助餐方向基础数据!$A$2:$H$38,6,0)</f>
        <v>5907</v>
      </c>
      <c r="M24" s="20">
        <f t="shared" si="12"/>
        <v>5907</v>
      </c>
      <c r="N24" s="20">
        <f t="shared" si="6"/>
        <v>3.46779069972232</v>
      </c>
      <c r="O24" s="62">
        <f>VLOOKUP(A24,老年助餐方向基础数据!$A$2:$H$38,7,0)</f>
        <v>16050</v>
      </c>
      <c r="P24" s="20">
        <f t="shared" si="13"/>
        <v>16050</v>
      </c>
      <c r="Q24" s="20">
        <f t="shared" si="7"/>
        <v>4.62966969253801</v>
      </c>
      <c r="R24" s="20">
        <f>(N24*$N$5+Q24*$Q$5)*$R$5</f>
        <v>1.66596723816469</v>
      </c>
      <c r="S24" s="20">
        <f t="shared" si="8"/>
        <v>3.4486667963782</v>
      </c>
      <c r="T24" s="20"/>
      <c r="U24" s="20" t="e">
        <f t="shared" si="9"/>
        <v>#DIV/0!</v>
      </c>
      <c r="V24" s="70">
        <v>0.948644793152639</v>
      </c>
      <c r="W24" s="71">
        <f t="shared" si="14"/>
        <v>1.42151787033597</v>
      </c>
      <c r="X24" s="20">
        <f t="shared" si="15"/>
        <v>4.90234147988593</v>
      </c>
      <c r="Y24" s="74">
        <f t="shared" si="10"/>
        <v>738</v>
      </c>
      <c r="Z24" s="74">
        <f t="shared" si="11"/>
        <v>345</v>
      </c>
    </row>
    <row r="25" s="49" customFormat="true" ht="30" customHeight="true" spans="1:26">
      <c r="A25" s="61" t="s">
        <v>45</v>
      </c>
      <c r="B25" s="61" t="s">
        <v>105</v>
      </c>
      <c r="C25" s="62">
        <f>VLOOKUP(A25,老年助餐方向基础数据!$A$2:$H$38,2,0)</f>
        <v>5755185</v>
      </c>
      <c r="D25" s="63">
        <f t="shared" si="2"/>
        <v>6.43921847832273</v>
      </c>
      <c r="E25" s="62">
        <f>VLOOKUP(A25,老年助餐方向基础数据!$A$2:$H$38,3,0)</f>
        <v>13422972</v>
      </c>
      <c r="F25" s="20">
        <f t="shared" si="3"/>
        <v>7.6860306888162</v>
      </c>
      <c r="G25" s="62">
        <f>VLOOKUP(A25,老年助餐方向基础数据!$A$2:$H$38,4,0)</f>
        <v>15462</v>
      </c>
      <c r="H25" s="20">
        <f t="shared" si="4"/>
        <v>1.06412557535182</v>
      </c>
      <c r="I25" s="62">
        <f>VLOOKUP(A25,老年助餐方向基础数据!$A$2:$H$38,5,0)</f>
        <v>558795</v>
      </c>
      <c r="J25" s="20">
        <f t="shared" si="5"/>
        <v>4.21700471806151</v>
      </c>
      <c r="K25" s="20">
        <f>(D25*$D$5+F25*$F$5+H25*$H$5+J25*$J$5)*$K$5</f>
        <v>3.04294765967893</v>
      </c>
      <c r="L25" s="62">
        <f>VLOOKUP(A25,老年助餐方向基础数据!$A$2:$H$38,6,0)</f>
        <v>8624</v>
      </c>
      <c r="M25" s="20">
        <f t="shared" si="12"/>
        <v>8624</v>
      </c>
      <c r="N25" s="20">
        <f t="shared" si="6"/>
        <v>5.06284526737858</v>
      </c>
      <c r="O25" s="62">
        <f>VLOOKUP(A25,老年助餐方向基础数据!$A$2:$H$38,7,0)</f>
        <v>21539</v>
      </c>
      <c r="P25" s="20">
        <f t="shared" si="13"/>
        <v>21539</v>
      </c>
      <c r="Q25" s="20">
        <f t="shared" si="7"/>
        <v>6.21298788209198</v>
      </c>
      <c r="R25" s="20">
        <f>(N25*$N$5+Q25*$Q$5)*$R$5</f>
        <v>2.30117233448265</v>
      </c>
      <c r="S25" s="20">
        <f t="shared" si="8"/>
        <v>5.34411999416158</v>
      </c>
      <c r="T25" s="20"/>
      <c r="U25" s="20" t="e">
        <f t="shared" si="9"/>
        <v>#DIV/0!</v>
      </c>
      <c r="V25" s="70">
        <v>1.08196721311475</v>
      </c>
      <c r="W25" s="71">
        <f t="shared" si="14"/>
        <v>1.48075793883802</v>
      </c>
      <c r="X25" s="20">
        <f t="shared" si="15"/>
        <v>7.91334810745773</v>
      </c>
      <c r="Y25" s="74">
        <f>ROUND(X25/$X$7*20000,0)-1</f>
        <v>1190</v>
      </c>
      <c r="Z25" s="74">
        <f t="shared" si="11"/>
        <v>534</v>
      </c>
    </row>
    <row r="26" s="49" customFormat="true" ht="30" customHeight="true" spans="1:26">
      <c r="A26" s="61" t="s">
        <v>49</v>
      </c>
      <c r="B26" s="61" t="s">
        <v>105</v>
      </c>
      <c r="C26" s="62">
        <f>VLOOKUP(A26,老年助餐方向基础数据!$A$2:$H$38,2,0)</f>
        <v>612980</v>
      </c>
      <c r="D26" s="63">
        <f t="shared" si="2"/>
        <v>0.685835840697088</v>
      </c>
      <c r="E26" s="62">
        <f>VLOOKUP(A26,老年助餐方向基础数据!$A$2:$H$38,3,0)</f>
        <v>1429669</v>
      </c>
      <c r="F26" s="20">
        <f t="shared" si="3"/>
        <v>0.818632401889028</v>
      </c>
      <c r="G26" s="62">
        <f>VLOOKUP(A26,老年助餐方向基础数据!$A$2:$H$38,4,0)</f>
        <v>3039</v>
      </c>
      <c r="H26" s="20">
        <f t="shared" si="4"/>
        <v>0.209150020921884</v>
      </c>
      <c r="I26" s="62">
        <f>VLOOKUP(A26,老年助餐方向基础数据!$A$2:$H$38,5,0)</f>
        <v>27900</v>
      </c>
      <c r="J26" s="20">
        <f t="shared" si="5"/>
        <v>0.210550258384409</v>
      </c>
      <c r="K26" s="20">
        <f>(D26*$D$5+F26*$F$5+H26*$H$5+J26*$J$5)*$K$5</f>
        <v>0.292651182243495</v>
      </c>
      <c r="L26" s="62">
        <f>VLOOKUP(A26,老年助餐方向基础数据!$A$2:$H$38,6,0)</f>
        <v>1609</v>
      </c>
      <c r="M26" s="20">
        <f t="shared" si="12"/>
        <v>3338</v>
      </c>
      <c r="N26" s="20">
        <f t="shared" si="6"/>
        <v>1.95962169556003</v>
      </c>
      <c r="O26" s="62">
        <f>VLOOKUP(A26,老年助餐方向基础数据!$A$2:$H$38,7,0)</f>
        <v>750</v>
      </c>
      <c r="P26" s="20">
        <f t="shared" si="13"/>
        <v>6931</v>
      </c>
      <c r="Q26" s="20">
        <f t="shared" si="7"/>
        <v>1.99926732953152</v>
      </c>
      <c r="R26" s="20">
        <f>(N26*$N$5+Q26*$Q$5)*$R$5</f>
        <v>0.793363630377171</v>
      </c>
      <c r="S26" s="20">
        <f t="shared" si="8"/>
        <v>1.08601481262067</v>
      </c>
      <c r="T26" s="20"/>
      <c r="U26" s="20" t="e">
        <f t="shared" si="9"/>
        <v>#DIV/0!</v>
      </c>
      <c r="V26" s="70">
        <v>1.08196721311475</v>
      </c>
      <c r="W26" s="71">
        <f t="shared" si="14"/>
        <v>1.48075793883802</v>
      </c>
      <c r="X26" s="20">
        <f t="shared" si="15"/>
        <v>1.60812505548373</v>
      </c>
      <c r="Y26" s="74">
        <f t="shared" si="10"/>
        <v>242</v>
      </c>
      <c r="Z26" s="74">
        <f t="shared" si="11"/>
        <v>109</v>
      </c>
    </row>
    <row r="27" s="49" customFormat="true" ht="30" customHeight="true" spans="1:26">
      <c r="A27" s="61" t="s">
        <v>50</v>
      </c>
      <c r="B27" s="61" t="s">
        <v>102</v>
      </c>
      <c r="C27" s="62">
        <f>VLOOKUP(A27,老年助餐方向基础数据!$A$2:$H$38,2,0)</f>
        <v>3720474</v>
      </c>
      <c r="D27" s="63">
        <f t="shared" si="2"/>
        <v>4.16267156119557</v>
      </c>
      <c r="E27" s="62">
        <f>VLOOKUP(A27,老年助餐方向基础数据!$A$2:$H$38,3,0)</f>
        <v>14243574</v>
      </c>
      <c r="F27" s="20">
        <f t="shared" si="3"/>
        <v>8.15590965118787</v>
      </c>
      <c r="G27" s="62">
        <f>VLOOKUP(A27,老年助餐方向基础数据!$A$2:$H$38,4,0)</f>
        <v>104105</v>
      </c>
      <c r="H27" s="20">
        <f t="shared" si="4"/>
        <v>7.16471303983967</v>
      </c>
      <c r="I27" s="62">
        <f>VLOOKUP(A27,老年助餐方向基础数据!$A$2:$H$38,5,0)</f>
        <v>1283608</v>
      </c>
      <c r="J27" s="20">
        <f t="shared" si="5"/>
        <v>9.68688157936541</v>
      </c>
      <c r="K27" s="20">
        <f>(D27*$D$5+F27*$F$5+H27*$H$5+J27*$J$5)*$K$5</f>
        <v>4.57098857362382</v>
      </c>
      <c r="L27" s="62">
        <f>VLOOKUP(A27,老年助餐方向基础数据!$A$2:$H$38,6,0)</f>
        <v>10229</v>
      </c>
      <c r="M27" s="20">
        <f t="shared" si="12"/>
        <v>10229</v>
      </c>
      <c r="N27" s="20">
        <f t="shared" si="6"/>
        <v>6.00508397959363</v>
      </c>
      <c r="O27" s="62">
        <f>VLOOKUP(A27,老年助餐方向基础数据!$A$2:$H$38,7,0)</f>
        <v>6988</v>
      </c>
      <c r="P27" s="20">
        <f t="shared" si="13"/>
        <v>6988</v>
      </c>
      <c r="Q27" s="20">
        <f t="shared" si="7"/>
        <v>2.01570914713119</v>
      </c>
      <c r="R27" s="20">
        <f>(N27*$N$5+Q27*$Q$5)*$R$5</f>
        <v>1.44458363204647</v>
      </c>
      <c r="S27" s="20">
        <f t="shared" si="8"/>
        <v>6.01557220567029</v>
      </c>
      <c r="T27" s="20"/>
      <c r="U27" s="20" t="e">
        <f t="shared" si="9"/>
        <v>#DIV/0!</v>
      </c>
      <c r="V27" s="70">
        <v>0.286427976686095</v>
      </c>
      <c r="W27" s="71">
        <f t="shared" si="14"/>
        <v>1.12727051432615</v>
      </c>
      <c r="X27" s="20">
        <f t="shared" si="15"/>
        <v>6.78117717425206</v>
      </c>
      <c r="Y27" s="74">
        <f t="shared" si="10"/>
        <v>1020</v>
      </c>
      <c r="Z27" s="74">
        <f>ROUND(S27/100*10000,0)-1</f>
        <v>601</v>
      </c>
    </row>
    <row r="28" s="49" customFormat="true" ht="30" customHeight="true" spans="1:26">
      <c r="A28" s="61" t="s">
        <v>53</v>
      </c>
      <c r="B28" s="61" t="s">
        <v>102</v>
      </c>
      <c r="C28" s="62">
        <f>VLOOKUP(A28,老年助餐方向基础数据!$A$2:$H$38,2,0)</f>
        <v>4106046</v>
      </c>
      <c r="D28" s="63">
        <f t="shared" si="2"/>
        <v>4.5940707859162</v>
      </c>
      <c r="E28" s="62">
        <f>VLOOKUP(A28,老年助餐方向基础数据!$A$2:$H$38,3,0)</f>
        <v>7688949</v>
      </c>
      <c r="F28" s="20">
        <f t="shared" si="3"/>
        <v>4.40271334684619</v>
      </c>
      <c r="G28" s="62">
        <f>VLOOKUP(A28,老年助餐方向基础数据!$A$2:$H$38,4,0)</f>
        <v>56627</v>
      </c>
      <c r="H28" s="20">
        <f t="shared" si="4"/>
        <v>3.89718270310745</v>
      </c>
      <c r="I28" s="62">
        <f>VLOOKUP(A28,老年助餐方向基础数据!$A$2:$H$38,5,0)</f>
        <v>470490</v>
      </c>
      <c r="J28" s="20">
        <f t="shared" si="5"/>
        <v>3.55060183036849</v>
      </c>
      <c r="K28" s="20">
        <f>(D28*$D$5+F28*$F$5+H28*$H$5+J28*$J$5)*$K$5</f>
        <v>2.45054715058148</v>
      </c>
      <c r="L28" s="62">
        <f>VLOOKUP(A28,老年助餐方向基础数据!$A$2:$H$38,6,0)</f>
        <v>6130</v>
      </c>
      <c r="M28" s="20">
        <f t="shared" si="12"/>
        <v>6130</v>
      </c>
      <c r="N28" s="20">
        <f t="shared" si="6"/>
        <v>3.59870610958148</v>
      </c>
      <c r="O28" s="62">
        <f>VLOOKUP(A28,老年助餐方向基础数据!$A$2:$H$38,7,0)</f>
        <v>17546</v>
      </c>
      <c r="P28" s="20">
        <f t="shared" si="13"/>
        <v>17546</v>
      </c>
      <c r="Q28" s="20">
        <f t="shared" si="7"/>
        <v>5.0611952912942</v>
      </c>
      <c r="R28" s="20">
        <f>(N28*$N$5+Q28*$Q$5)*$R$5</f>
        <v>1.79047984744365</v>
      </c>
      <c r="S28" s="20">
        <f t="shared" si="8"/>
        <v>4.24102699802513</v>
      </c>
      <c r="T28" s="20"/>
      <c r="U28" s="20" t="e">
        <f t="shared" si="9"/>
        <v>#DIV/0!</v>
      </c>
      <c r="V28" s="70">
        <v>1.07009345794393</v>
      </c>
      <c r="W28" s="71">
        <f t="shared" si="14"/>
        <v>1.47548199147751</v>
      </c>
      <c r="X28" s="20">
        <f t="shared" si="15"/>
        <v>6.25755896095598</v>
      </c>
      <c r="Y28" s="74">
        <f t="shared" si="10"/>
        <v>942</v>
      </c>
      <c r="Z28" s="74">
        <f t="shared" si="11"/>
        <v>424</v>
      </c>
    </row>
    <row r="29" s="49" customFormat="true" ht="30" customHeight="true" spans="1:26">
      <c r="A29" s="61" t="s">
        <v>56</v>
      </c>
      <c r="B29" s="61" t="s">
        <v>102</v>
      </c>
      <c r="C29" s="62">
        <f>VLOOKUP(A29,老年助餐方向基础数据!$A$2:$H$38,2,0)</f>
        <v>2840418</v>
      </c>
      <c r="D29" s="63">
        <f t="shared" si="2"/>
        <v>3.17801635772968</v>
      </c>
      <c r="E29" s="62">
        <f>VLOOKUP(A29,老年助餐方向基础数据!$A$2:$H$38,3,0)</f>
        <v>10370863</v>
      </c>
      <c r="F29" s="20">
        <f t="shared" si="3"/>
        <v>5.93838468019664</v>
      </c>
      <c r="G29" s="62">
        <f>VLOOKUP(A29,老年助餐方向基础数据!$A$2:$H$38,4,0)</f>
        <v>60342</v>
      </c>
      <c r="H29" s="20">
        <f t="shared" si="4"/>
        <v>4.15285638778162</v>
      </c>
      <c r="I29" s="62">
        <f>VLOOKUP(A29,老年助餐方向基础数据!$A$2:$H$38,5,0)</f>
        <v>506799</v>
      </c>
      <c r="J29" s="20">
        <f t="shared" si="5"/>
        <v>3.8246114838337</v>
      </c>
      <c r="K29" s="20">
        <f>(D29*$D$5+F29*$F$5+H29*$H$5+J29*$J$5)*$K$5</f>
        <v>2.63704403898682</v>
      </c>
      <c r="L29" s="62">
        <f>VLOOKUP(A29,老年助餐方向基础数据!$A$2:$H$38,6,0)</f>
        <v>6527</v>
      </c>
      <c r="M29" s="20">
        <f t="shared" si="12"/>
        <v>6527</v>
      </c>
      <c r="N29" s="20">
        <f t="shared" si="6"/>
        <v>3.83177076300788</v>
      </c>
      <c r="O29" s="62">
        <f>VLOOKUP(A29,老年助餐方向基础数据!$A$2:$H$38,7,0)</f>
        <v>23044</v>
      </c>
      <c r="P29" s="20">
        <f t="shared" si="13"/>
        <v>23044</v>
      </c>
      <c r="Q29" s="20">
        <f t="shared" si="7"/>
        <v>6.64710955731127</v>
      </c>
      <c r="R29" s="20">
        <f>(N29*$N$5+Q29*$Q$5)*$R$5</f>
        <v>2.20838961583597</v>
      </c>
      <c r="S29" s="20">
        <f t="shared" si="8"/>
        <v>4.84543365482278</v>
      </c>
      <c r="T29" s="20"/>
      <c r="U29" s="20" t="e">
        <f t="shared" si="9"/>
        <v>#DIV/0!</v>
      </c>
      <c r="V29" s="70">
        <v>0.732581967213115</v>
      </c>
      <c r="W29" s="71">
        <f t="shared" si="14"/>
        <v>1.32551318775491</v>
      </c>
      <c r="X29" s="20">
        <f t="shared" si="15"/>
        <v>6.42268620985906</v>
      </c>
      <c r="Y29" s="74">
        <f t="shared" si="10"/>
        <v>967</v>
      </c>
      <c r="Z29" s="74">
        <f t="shared" si="11"/>
        <v>485</v>
      </c>
    </row>
    <row r="30" s="49" customFormat="true" ht="30" customHeight="true" spans="1:26">
      <c r="A30" s="61" t="s">
        <v>59</v>
      </c>
      <c r="B30" s="61" t="s">
        <v>105</v>
      </c>
      <c r="C30" s="62">
        <f>VLOOKUP(A30,老年助餐方向基础数据!$A$2:$H$38,2,0)</f>
        <v>6869044</v>
      </c>
      <c r="D30" s="63">
        <f t="shared" si="2"/>
        <v>7.68546537656251</v>
      </c>
      <c r="E30" s="62">
        <f>VLOOKUP(A30,老年助餐方向基础数据!$A$2:$H$38,3,0)</f>
        <v>7764195</v>
      </c>
      <c r="F30" s="20">
        <f t="shared" si="3"/>
        <v>4.44579941342002</v>
      </c>
      <c r="G30" s="62">
        <f>VLOOKUP(A30,老年助餐方向基础数据!$A$2:$H$38,4,0)</f>
        <v>28822</v>
      </c>
      <c r="H30" s="20">
        <f t="shared" si="4"/>
        <v>1.98358733234964</v>
      </c>
      <c r="I30" s="62">
        <f>VLOOKUP(A30,老年助餐方向基础数据!$A$2:$H$38,5,0)</f>
        <v>241663</v>
      </c>
      <c r="J30" s="20">
        <f t="shared" si="5"/>
        <v>1.8237350212169</v>
      </c>
      <c r="K30" s="20">
        <f>(D30*$D$5+F30*$F$5+H30*$H$5+J30*$J$5)*$K$5</f>
        <v>2.2888025233041</v>
      </c>
      <c r="L30" s="62">
        <f>VLOOKUP(A30,老年助餐方向基础数据!$A$2:$H$38,6,0)</f>
        <v>6833</v>
      </c>
      <c r="M30" s="20">
        <f t="shared" si="12"/>
        <v>6833</v>
      </c>
      <c r="N30" s="20">
        <f t="shared" si="6"/>
        <v>4.01141253617786</v>
      </c>
      <c r="O30" s="62">
        <f>VLOOKUP(A30,老年助餐方向基础数据!$A$2:$H$38,7,0)</f>
        <v>13655</v>
      </c>
      <c r="P30" s="20">
        <f t="shared" si="13"/>
        <v>13655</v>
      </c>
      <c r="Q30" s="20">
        <f t="shared" si="7"/>
        <v>3.93882490041162</v>
      </c>
      <c r="R30" s="20">
        <f>(N30*$N$5+Q30*$Q$5)*$R$5</f>
        <v>1.58714398188725</v>
      </c>
      <c r="S30" s="20">
        <f t="shared" si="8"/>
        <v>3.87594650519135</v>
      </c>
      <c r="T30" s="20"/>
      <c r="U30" s="20" t="e">
        <f t="shared" si="9"/>
        <v>#DIV/0!</v>
      </c>
      <c r="V30" s="70">
        <v>0.364367816091954</v>
      </c>
      <c r="W30" s="71">
        <f t="shared" si="14"/>
        <v>1.16190205961879</v>
      </c>
      <c r="X30" s="20">
        <f t="shared" si="15"/>
        <v>4.50347022735407</v>
      </c>
      <c r="Y30" s="74">
        <f t="shared" si="10"/>
        <v>678</v>
      </c>
      <c r="Z30" s="74">
        <f t="shared" si="11"/>
        <v>388</v>
      </c>
    </row>
    <row r="31" s="49" customFormat="true" ht="30" customHeight="true" spans="1:26">
      <c r="A31" s="61" t="s">
        <v>61</v>
      </c>
      <c r="B31" s="61" t="s">
        <v>105</v>
      </c>
      <c r="C31" s="62">
        <f>VLOOKUP(A31,老年助餐方向基础数据!$A$2:$H$38,2,0)</f>
        <v>437412</v>
      </c>
      <c r="D31" s="63">
        <f t="shared" si="2"/>
        <v>0.489400676614236</v>
      </c>
      <c r="E31" s="62">
        <f>VLOOKUP(A31,老年助餐方向基础数据!$A$2:$H$38,3,0)</f>
        <v>494415</v>
      </c>
      <c r="F31" s="20">
        <f t="shared" si="3"/>
        <v>0.283103388952243</v>
      </c>
      <c r="G31" s="62">
        <f>VLOOKUP(A31,老年助餐方向基础数据!$A$2:$H$38,4,0)</f>
        <v>290</v>
      </c>
      <c r="H31" s="20">
        <f t="shared" si="4"/>
        <v>0.019958376461779</v>
      </c>
      <c r="I31" s="62">
        <f>VLOOKUP(A31,老年助餐方向基础数据!$A$2:$H$38,5,0)</f>
        <v>0</v>
      </c>
      <c r="J31" s="20">
        <f t="shared" si="5"/>
        <v>0</v>
      </c>
      <c r="K31" s="20">
        <f>(D31*$D$5+F31*$F$5+H31*$H$5+J31*$J$5)*$K$5</f>
        <v>0.112081696380526</v>
      </c>
      <c r="L31" s="62">
        <f>VLOOKUP(A31,老年助餐方向基础数据!$A$2:$H$38,6,0)</f>
        <v>803</v>
      </c>
      <c r="M31" s="20">
        <f t="shared" si="12"/>
        <v>3338</v>
      </c>
      <c r="N31" s="20">
        <f t="shared" si="6"/>
        <v>1.95962169556003</v>
      </c>
      <c r="O31" s="62"/>
      <c r="P31" s="20">
        <v>0</v>
      </c>
      <c r="Q31" s="20">
        <f t="shared" si="7"/>
        <v>0</v>
      </c>
      <c r="R31" s="20">
        <f>(N31*$N$5+Q31*$Q$5)*$R$5</f>
        <v>0.313539471289605</v>
      </c>
      <c r="S31" s="20">
        <f t="shared" si="8"/>
        <v>0.42562116767013</v>
      </c>
      <c r="T31" s="20"/>
      <c r="U31" s="20" t="e">
        <f t="shared" si="9"/>
        <v>#DIV/0!</v>
      </c>
      <c r="V31" s="70">
        <v>0.364367816091954</v>
      </c>
      <c r="W31" s="71">
        <f t="shared" si="14"/>
        <v>1.16190205961879</v>
      </c>
      <c r="X31" s="20">
        <f t="shared" si="15"/>
        <v>0.494530111333278</v>
      </c>
      <c r="Y31" s="74">
        <f t="shared" si="10"/>
        <v>74</v>
      </c>
      <c r="Z31" s="74">
        <f t="shared" si="11"/>
        <v>43</v>
      </c>
    </row>
    <row r="32" s="49" customFormat="true" ht="30" customHeight="true" spans="1:26">
      <c r="A32" s="61" t="s">
        <v>62</v>
      </c>
      <c r="B32" s="61" t="s">
        <v>124</v>
      </c>
      <c r="C32" s="62">
        <f>VLOOKUP(A32,老年助餐方向基础数据!$A$2:$H$38,2,0)</f>
        <v>1842133</v>
      </c>
      <c r="D32" s="63">
        <f t="shared" si="2"/>
        <v>2.06108002664173</v>
      </c>
      <c r="E32" s="62">
        <f>VLOOKUP(A32,老年助餐方向基础数据!$A$2:$H$38,3,0)</f>
        <v>6521646</v>
      </c>
      <c r="F32" s="20">
        <f t="shared" si="3"/>
        <v>3.73431243822869</v>
      </c>
      <c r="G32" s="62">
        <f>VLOOKUP(A32,老年助餐方向基础数据!$A$2:$H$38,4,0)</f>
        <v>71432</v>
      </c>
      <c r="H32" s="20">
        <f t="shared" si="4"/>
        <v>4.91609223247517</v>
      </c>
      <c r="I32" s="62">
        <f>VLOOKUP(A32,老年助餐方向基础数据!$A$2:$H$38,5,0)</f>
        <v>514866</v>
      </c>
      <c r="J32" s="20">
        <f t="shared" si="5"/>
        <v>3.88548994026334</v>
      </c>
      <c r="K32" s="20">
        <f>(D32*$D$5+F32*$F$5+H32*$H$5+J32*$J$5)*$K$5</f>
        <v>2.20882509922259</v>
      </c>
      <c r="L32" s="62">
        <f>VLOOKUP(A32,老年助餐方向基础数据!$A$2:$H$38,6,0)</f>
        <v>956</v>
      </c>
      <c r="M32" s="20">
        <f t="shared" si="12"/>
        <v>3338</v>
      </c>
      <c r="N32" s="20">
        <f t="shared" si="6"/>
        <v>1.95962169556003</v>
      </c>
      <c r="O32" s="62">
        <f>VLOOKUP(A32,老年助餐方向基础数据!$A$2:$H$38,7,0)</f>
        <v>8139</v>
      </c>
      <c r="P32" s="20">
        <f t="shared" si="13"/>
        <v>8139</v>
      </c>
      <c r="Q32" s="20">
        <f t="shared" si="7"/>
        <v>2.34771848146834</v>
      </c>
      <c r="R32" s="20">
        <f>(N32*$N$5+Q32*$Q$5)*$R$5</f>
        <v>0.876991906842007</v>
      </c>
      <c r="S32" s="20">
        <f t="shared" si="8"/>
        <v>3.0858170060646</v>
      </c>
      <c r="T32" s="20"/>
      <c r="U32" s="20" t="e">
        <f t="shared" si="9"/>
        <v>#DIV/0!</v>
      </c>
      <c r="V32" s="70">
        <v>0.788519637462236</v>
      </c>
      <c r="W32" s="71">
        <f t="shared" si="14"/>
        <v>1.35036835778816</v>
      </c>
      <c r="X32" s="20">
        <f t="shared" si="15"/>
        <v>4.16698964291422</v>
      </c>
      <c r="Y32" s="74">
        <f t="shared" si="10"/>
        <v>627</v>
      </c>
      <c r="Z32" s="74">
        <f t="shared" si="11"/>
        <v>309</v>
      </c>
    </row>
    <row r="33" s="49" customFormat="true" ht="30" customHeight="true" spans="1:26">
      <c r="A33" s="61" t="s">
        <v>64</v>
      </c>
      <c r="B33" s="61" t="s">
        <v>102</v>
      </c>
      <c r="C33" s="62">
        <f>VLOOKUP(A33,老年助餐方向基础数据!$A$2:$H$38,2,0)</f>
        <v>432588</v>
      </c>
      <c r="D33" s="63">
        <f t="shared" si="2"/>
        <v>0.484003319285249</v>
      </c>
      <c r="E33" s="62">
        <f>VLOOKUP(A33,老年助餐方向基础数据!$A$2:$H$38,3,0)</f>
        <v>1044011</v>
      </c>
      <c r="F33" s="20">
        <f t="shared" si="3"/>
        <v>0.597803570286945</v>
      </c>
      <c r="G33" s="62">
        <f>VLOOKUP(A33,老年助餐方向基础数据!$A$2:$H$38,4,0)</f>
        <v>2983</v>
      </c>
      <c r="H33" s="20">
        <f t="shared" si="4"/>
        <v>0.205295989605127</v>
      </c>
      <c r="I33" s="62">
        <f>VLOOKUP(A33,老年助餐方向基础数据!$A$2:$H$38,5,0)</f>
        <v>29076</v>
      </c>
      <c r="J33" s="20">
        <f t="shared" si="5"/>
        <v>0.219425064974376</v>
      </c>
      <c r="K33" s="20">
        <f>(D33*$D$5+F33*$F$5+H33*$H$5+J33*$J$5)*$K$5</f>
        <v>0.229817071413883</v>
      </c>
      <c r="L33" s="62">
        <f>VLOOKUP(A33,老年助餐方向基础数据!$A$2:$H$38,6,0)</f>
        <v>216</v>
      </c>
      <c r="M33" s="20">
        <f t="shared" si="12"/>
        <v>3338</v>
      </c>
      <c r="N33" s="20">
        <f t="shared" si="6"/>
        <v>1.95962169556003</v>
      </c>
      <c r="O33" s="62">
        <f>VLOOKUP(A33,老年助餐方向基础数据!$A$2:$H$38,7,0)</f>
        <v>305</v>
      </c>
      <c r="P33" s="20">
        <f t="shared" si="13"/>
        <v>6931</v>
      </c>
      <c r="Q33" s="20">
        <f t="shared" si="7"/>
        <v>1.99926732953152</v>
      </c>
      <c r="R33" s="20">
        <f>(N33*$N$5+Q33*$Q$5)*$R$5</f>
        <v>0.793363630377171</v>
      </c>
      <c r="S33" s="20">
        <f t="shared" si="8"/>
        <v>1.02318070179105</v>
      </c>
      <c r="T33" s="20"/>
      <c r="U33" s="20" t="e">
        <f t="shared" si="9"/>
        <v>#DIV/0!</v>
      </c>
      <c r="V33" s="70">
        <v>1.04736842105263</v>
      </c>
      <c r="W33" s="71">
        <f t="shared" si="14"/>
        <v>1.46538441942222</v>
      </c>
      <c r="X33" s="20">
        <f t="shared" si="15"/>
        <v>1.49935305865811</v>
      </c>
      <c r="Y33" s="74">
        <f t="shared" si="10"/>
        <v>226</v>
      </c>
      <c r="Z33" s="74">
        <f t="shared" si="11"/>
        <v>102</v>
      </c>
    </row>
    <row r="34" s="49" customFormat="true" ht="30" customHeight="true" spans="1:26">
      <c r="A34" s="61" t="s">
        <v>65</v>
      </c>
      <c r="B34" s="61" t="s">
        <v>124</v>
      </c>
      <c r="C34" s="62">
        <f>VLOOKUP(A34,老年助餐方向基础数据!$A$2:$H$38,2,0)</f>
        <v>2697393</v>
      </c>
      <c r="D34" s="63">
        <f t="shared" si="2"/>
        <v>3.01799209736931</v>
      </c>
      <c r="E34" s="62">
        <f>VLOOKUP(A34,老年助餐方向基础数据!$A$2:$H$38,3,0)</f>
        <v>4313047</v>
      </c>
      <c r="F34" s="20">
        <f t="shared" si="3"/>
        <v>2.4696625757922</v>
      </c>
      <c r="G34" s="62">
        <f>VLOOKUP(A34,老年助餐方向基础数据!$A$2:$H$38,4,0)</f>
        <v>28878</v>
      </c>
      <c r="H34" s="20">
        <f t="shared" si="4"/>
        <v>1.9874413636664</v>
      </c>
      <c r="I34" s="62">
        <f>VLOOKUP(A34,老年助餐方向基础数据!$A$2:$H$38,5,0)</f>
        <v>108547</v>
      </c>
      <c r="J34" s="20">
        <f t="shared" si="5"/>
        <v>0.819161250783243</v>
      </c>
      <c r="K34" s="20">
        <f>(D34*$D$5+F34*$F$5+H34*$H$5+J34*$J$5)*$K$5</f>
        <v>1.19264030410787</v>
      </c>
      <c r="L34" s="62">
        <f>VLOOKUP(A34,老年助餐方向基础数据!$A$2:$H$38,6,0)</f>
        <v>3103</v>
      </c>
      <c r="M34" s="20">
        <f t="shared" si="12"/>
        <v>3338</v>
      </c>
      <c r="N34" s="20">
        <f t="shared" si="6"/>
        <v>1.95962169556003</v>
      </c>
      <c r="O34" s="62">
        <f>VLOOKUP(A34,老年助餐方向基础数据!$A$2:$H$38,7,0)</f>
        <v>2886</v>
      </c>
      <c r="P34" s="20">
        <f t="shared" si="13"/>
        <v>6931</v>
      </c>
      <c r="Q34" s="20">
        <f t="shared" si="7"/>
        <v>1.99926732953152</v>
      </c>
      <c r="R34" s="20">
        <f>(N34*$N$5+Q34*$Q$5)*$R$5</f>
        <v>0.793363630377171</v>
      </c>
      <c r="S34" s="20">
        <f t="shared" si="8"/>
        <v>1.98600393448504</v>
      </c>
      <c r="T34" s="20"/>
      <c r="U34" s="20" t="e">
        <f t="shared" si="9"/>
        <v>#DIV/0!</v>
      </c>
      <c r="V34" s="70">
        <v>1.06060606060606</v>
      </c>
      <c r="W34" s="71">
        <f t="shared" si="14"/>
        <v>1.47126639091789</v>
      </c>
      <c r="X34" s="20">
        <f t="shared" si="15"/>
        <v>2.92194084103853</v>
      </c>
      <c r="Y34" s="74">
        <f t="shared" si="10"/>
        <v>440</v>
      </c>
      <c r="Z34" s="74">
        <f t="shared" si="11"/>
        <v>199</v>
      </c>
    </row>
    <row r="35" s="49" customFormat="true" ht="30" customHeight="true" spans="1:26">
      <c r="A35" s="61" t="s">
        <v>68</v>
      </c>
      <c r="B35" s="61" t="s">
        <v>124</v>
      </c>
      <c r="C35" s="62">
        <f>VLOOKUP(A35,老年助餐方向基础数据!$A$2:$H$38,2,0)</f>
        <v>5041363</v>
      </c>
      <c r="D35" s="63">
        <f t="shared" si="2"/>
        <v>5.64055504480439</v>
      </c>
      <c r="E35" s="62">
        <f>VLOOKUP(A35,老年助餐方向基础数据!$A$2:$H$38,3,0)</f>
        <v>13122441</v>
      </c>
      <c r="F35" s="20">
        <f t="shared" si="3"/>
        <v>7.51394581156691</v>
      </c>
      <c r="G35" s="62">
        <f>VLOOKUP(A35,老年助餐方向基础数据!$A$2:$H$38,4,0)</f>
        <v>112591</v>
      </c>
      <c r="H35" s="20">
        <f t="shared" si="4"/>
        <v>7.74873642830401</v>
      </c>
      <c r="I35" s="62">
        <f>VLOOKUP(A35,老年助餐方向基础数据!$A$2:$H$38,5,0)</f>
        <v>1668051</v>
      </c>
      <c r="J35" s="20">
        <f t="shared" si="5"/>
        <v>12.588120754422</v>
      </c>
      <c r="K35" s="20">
        <f>(D35*$D$5+F35*$F$5+H35*$H$5+J35*$J$5)*$K$5</f>
        <v>5.225086958651</v>
      </c>
      <c r="L35" s="62">
        <f>VLOOKUP(A35,老年助餐方向基础数据!$A$2:$H$38,6,0)</f>
        <v>5768</v>
      </c>
      <c r="M35" s="20">
        <f t="shared" si="12"/>
        <v>5768</v>
      </c>
      <c r="N35" s="20">
        <f t="shared" si="6"/>
        <v>3.38618871779217</v>
      </c>
      <c r="O35" s="62">
        <f>VLOOKUP(A35,老年助餐方向基础数据!$A$2:$H$38,7,0)</f>
        <v>4740</v>
      </c>
      <c r="P35" s="20">
        <f t="shared" si="13"/>
        <v>6931</v>
      </c>
      <c r="Q35" s="20">
        <f t="shared" si="7"/>
        <v>1.99926732953152</v>
      </c>
      <c r="R35" s="20">
        <f>(N35*$N$5+Q35*$Q$5)*$R$5</f>
        <v>1.02161435393431</v>
      </c>
      <c r="S35" s="20">
        <f t="shared" si="8"/>
        <v>6.24670131258532</v>
      </c>
      <c r="T35" s="20"/>
      <c r="U35" s="20" t="e">
        <f t="shared" si="9"/>
        <v>#DIV/0!</v>
      </c>
      <c r="V35" s="70">
        <v>0.589951377633712</v>
      </c>
      <c r="W35" s="71">
        <f t="shared" si="14"/>
        <v>1.26213715617994</v>
      </c>
      <c r="X35" s="20">
        <f t="shared" si="15"/>
        <v>7.8841938301719</v>
      </c>
      <c r="Y35" s="74">
        <f t="shared" si="10"/>
        <v>1186</v>
      </c>
      <c r="Z35" s="74">
        <f>ROUND(S35/100*10000,0)-1</f>
        <v>624</v>
      </c>
    </row>
    <row r="36" s="49" customFormat="true" ht="30" customHeight="true" spans="1:26">
      <c r="A36" s="61" t="s">
        <v>70</v>
      </c>
      <c r="B36" s="61" t="s">
        <v>124</v>
      </c>
      <c r="C36" s="62">
        <f>VLOOKUP(A36,老年助餐方向基础数据!$A$2:$H$38,2,0)</f>
        <v>1185839</v>
      </c>
      <c r="D36" s="63">
        <f t="shared" si="2"/>
        <v>1.32678209321086</v>
      </c>
      <c r="E36" s="62">
        <f>VLOOKUP(A36,老年助餐方向基础数据!$A$2:$H$38,3,0)</f>
        <v>4745518</v>
      </c>
      <c r="F36" s="20">
        <f t="shared" si="3"/>
        <v>2.71729665995948</v>
      </c>
      <c r="G36" s="62">
        <f>VLOOKUP(A36,老年助餐方向基础数据!$A$2:$H$38,4,0)</f>
        <v>116978</v>
      </c>
      <c r="H36" s="20">
        <f t="shared" si="4"/>
        <v>8.05065848877926</v>
      </c>
      <c r="I36" s="62">
        <f>VLOOKUP(A36,老年助餐方向基础数据!$A$2:$H$38,5,0)</f>
        <v>469223</v>
      </c>
      <c r="J36" s="20">
        <f t="shared" si="5"/>
        <v>3.54104028279239</v>
      </c>
      <c r="K36" s="20">
        <f>(D36*$D$5+F36*$F$5+H36*$H$5+J36*$J$5)*$K$5</f>
        <v>2.25179351953415</v>
      </c>
      <c r="L36" s="62">
        <f>VLOOKUP(A36,老年助餐方向基础数据!$A$2:$H$38,6,0)</f>
        <v>1128</v>
      </c>
      <c r="M36" s="20">
        <f t="shared" si="12"/>
        <v>3338</v>
      </c>
      <c r="N36" s="20">
        <f t="shared" si="6"/>
        <v>1.95962169556003</v>
      </c>
      <c r="O36" s="62">
        <f>VLOOKUP(A36,老年助餐方向基础数据!$A$2:$H$38,7,0)</f>
        <v>2246</v>
      </c>
      <c r="P36" s="20">
        <f t="shared" si="13"/>
        <v>6931</v>
      </c>
      <c r="Q36" s="20">
        <f t="shared" si="7"/>
        <v>1.99926732953152</v>
      </c>
      <c r="R36" s="20">
        <f>(N36*$N$5+Q36*$Q$5)*$R$5</f>
        <v>0.793363630377171</v>
      </c>
      <c r="S36" s="20">
        <f t="shared" si="8"/>
        <v>3.04515714991132</v>
      </c>
      <c r="T36" s="20"/>
      <c r="U36" s="20" t="e">
        <f t="shared" si="9"/>
        <v>#DIV/0!</v>
      </c>
      <c r="V36" s="70">
        <v>0.424623115577889</v>
      </c>
      <c r="W36" s="71">
        <f t="shared" si="14"/>
        <v>1.18867571156849</v>
      </c>
      <c r="X36" s="20">
        <f t="shared" si="15"/>
        <v>3.61970434200872</v>
      </c>
      <c r="Y36" s="74">
        <f t="shared" si="10"/>
        <v>545</v>
      </c>
      <c r="Z36" s="74">
        <f t="shared" si="11"/>
        <v>305</v>
      </c>
    </row>
    <row r="37" s="49" customFormat="true" ht="30" customHeight="true" spans="1:26">
      <c r="A37" s="61" t="s">
        <v>73</v>
      </c>
      <c r="B37" s="61" t="s">
        <v>124</v>
      </c>
      <c r="C37" s="62">
        <f>VLOOKUP(A37,老年助餐方向基础数据!$A$2:$H$38,2,0)</f>
        <v>1588421</v>
      </c>
      <c r="D37" s="63">
        <f t="shared" si="2"/>
        <v>1.77721304433409</v>
      </c>
      <c r="E37" s="62">
        <f>VLOOKUP(A37,老年助餐方向基础数据!$A$2:$H$38,3,0)</f>
        <v>5449609</v>
      </c>
      <c r="F37" s="20">
        <f t="shared" si="3"/>
        <v>3.12046110325262</v>
      </c>
      <c r="G37" s="62">
        <f>VLOOKUP(A37,老年助餐方向基础数据!$A$2:$H$38,4,0)</f>
        <v>106071</v>
      </c>
      <c r="H37" s="20">
        <f t="shared" si="4"/>
        <v>7.30001706785297</v>
      </c>
      <c r="I37" s="62">
        <f>VLOOKUP(A37,老年助餐方向基础数据!$A$2:$H$38,5,0)</f>
        <v>822775</v>
      </c>
      <c r="J37" s="20">
        <f t="shared" si="5"/>
        <v>6.20915730617321</v>
      </c>
      <c r="K37" s="20">
        <f>(D37*$D$5+F37*$F$5+H37*$H$5+J37*$J$5)*$K$5</f>
        <v>2.76859892715909</v>
      </c>
      <c r="L37" s="62">
        <f>VLOOKUP(A37,老年助餐方向基础数据!$A$2:$H$38,6,0)</f>
        <v>1429</v>
      </c>
      <c r="M37" s="20">
        <f t="shared" si="12"/>
        <v>3338</v>
      </c>
      <c r="N37" s="20">
        <f t="shared" si="6"/>
        <v>1.95962169556003</v>
      </c>
      <c r="O37" s="62">
        <f>VLOOKUP(A37,老年助餐方向基础数据!$A$2:$H$38,7,0)</f>
        <v>3837</v>
      </c>
      <c r="P37" s="20">
        <f t="shared" si="13"/>
        <v>6931</v>
      </c>
      <c r="Q37" s="20">
        <f t="shared" si="7"/>
        <v>1.99926732953152</v>
      </c>
      <c r="R37" s="20">
        <f>(N37*$N$5+Q37*$Q$5)*$R$5</f>
        <v>0.793363630377171</v>
      </c>
      <c r="S37" s="20">
        <f t="shared" si="8"/>
        <v>3.56196255753627</v>
      </c>
      <c r="T37" s="20"/>
      <c r="U37" s="20" t="e">
        <f t="shared" si="9"/>
        <v>#DIV/0!</v>
      </c>
      <c r="V37" s="70">
        <v>0.581460674157303</v>
      </c>
      <c r="W37" s="71">
        <f t="shared" si="14"/>
        <v>1.25836442346389</v>
      </c>
      <c r="X37" s="20">
        <f t="shared" si="15"/>
        <v>4.4822469601141</v>
      </c>
      <c r="Y37" s="74">
        <f t="shared" si="10"/>
        <v>675</v>
      </c>
      <c r="Z37" s="74">
        <f t="shared" si="11"/>
        <v>356</v>
      </c>
    </row>
    <row r="38" s="49" customFormat="true" ht="30" customHeight="true" spans="1:26">
      <c r="A38" s="61" t="s">
        <v>75</v>
      </c>
      <c r="B38" s="61" t="s">
        <v>124</v>
      </c>
      <c r="C38" s="62">
        <f>VLOOKUP(A38,老年助餐方向基础数据!$A$2:$H$38,2,0)</f>
        <v>64875</v>
      </c>
      <c r="D38" s="63">
        <f t="shared" si="2"/>
        <v>0.0725857290045737</v>
      </c>
      <c r="E38" s="62">
        <f>VLOOKUP(A38,老年助餐方向基础数据!$A$2:$H$38,3,0)</f>
        <v>246109</v>
      </c>
      <c r="F38" s="20">
        <f t="shared" si="3"/>
        <v>0.140922690354555</v>
      </c>
      <c r="G38" s="62">
        <f>VLOOKUP(A38,老年助餐方向基础数据!$A$2:$H$38,4,0)</f>
        <v>3307</v>
      </c>
      <c r="H38" s="20">
        <f t="shared" si="4"/>
        <v>0.22759431365208</v>
      </c>
      <c r="I38" s="62">
        <f>VLOOKUP(A38,老年助餐方向基础数据!$A$2:$H$38,5,0)</f>
        <v>16658</v>
      </c>
      <c r="J38" s="20">
        <f t="shared" si="5"/>
        <v>0.125711333482706</v>
      </c>
      <c r="K38" s="20">
        <f>(D38*$D$5+F38*$F$5+H38*$H$5+J38*$J$5)*$K$5</f>
        <v>0.0840157294095055</v>
      </c>
      <c r="L38" s="62">
        <f>VLOOKUP(A38,老年助餐方向基础数据!$A$2:$H$38,6,0)</f>
        <v>52</v>
      </c>
      <c r="M38" s="20">
        <f t="shared" si="12"/>
        <v>3338</v>
      </c>
      <c r="N38" s="20">
        <f t="shared" si="6"/>
        <v>1.95962169556003</v>
      </c>
      <c r="O38" s="62">
        <f>VLOOKUP(A38,老年助餐方向基础数据!$A$2:$H$38,7,0)</f>
        <v>114</v>
      </c>
      <c r="P38" s="20">
        <f t="shared" si="13"/>
        <v>6931</v>
      </c>
      <c r="Q38" s="20">
        <f t="shared" si="7"/>
        <v>1.99926732953152</v>
      </c>
      <c r="R38" s="20">
        <f>(N38*$N$5+Q38*$Q$5)*$R$5</f>
        <v>0.793363630377171</v>
      </c>
      <c r="S38" s="20">
        <f t="shared" si="8"/>
        <v>0.877379359786676</v>
      </c>
      <c r="T38" s="20"/>
      <c r="U38" s="20" t="e">
        <f t="shared" si="9"/>
        <v>#DIV/0!</v>
      </c>
      <c r="V38" s="70">
        <v>1.00757575757576</v>
      </c>
      <c r="W38" s="71">
        <f t="shared" si="14"/>
        <v>1.447703071372</v>
      </c>
      <c r="X38" s="20">
        <f t="shared" si="15"/>
        <v>1.27018479392157</v>
      </c>
      <c r="Y38" s="74">
        <f t="shared" si="10"/>
        <v>191</v>
      </c>
      <c r="Z38" s="74">
        <f t="shared" si="11"/>
        <v>88</v>
      </c>
    </row>
    <row r="39" s="49" customFormat="true" ht="30" customHeight="true" spans="1:26">
      <c r="A39" s="61" t="s">
        <v>76</v>
      </c>
      <c r="B39" s="61" t="s">
        <v>124</v>
      </c>
      <c r="C39" s="62">
        <f>VLOOKUP(A39,老年助餐方向基础数据!$A$2:$H$38,2,0)</f>
        <v>2312912</v>
      </c>
      <c r="D39" s="63">
        <f t="shared" si="2"/>
        <v>2.58781354363663</v>
      </c>
      <c r="E39" s="62">
        <f>VLOOKUP(A39,老年助餐方向基础数据!$A$2:$H$38,3,0)</f>
        <v>5278290</v>
      </c>
      <c r="F39" s="20">
        <f t="shared" si="3"/>
        <v>3.0223633726176</v>
      </c>
      <c r="G39" s="62">
        <f>VLOOKUP(A39,老年助餐方向基础数据!$A$2:$H$38,4,0)</f>
        <v>31556</v>
      </c>
      <c r="H39" s="20">
        <f t="shared" si="4"/>
        <v>2.17174664699275</v>
      </c>
      <c r="I39" s="62">
        <f>VLOOKUP(A39,老年助餐方向基础数据!$A$2:$H$38,5,0)</f>
        <v>434190</v>
      </c>
      <c r="J39" s="20">
        <f t="shared" si="5"/>
        <v>3.27666009634146</v>
      </c>
      <c r="K39" s="20">
        <f>(D39*$D$5+F39*$F$5+H39*$H$5+J39*$J$5)*$K$5</f>
        <v>1.70497144728816</v>
      </c>
      <c r="L39" s="62">
        <f>VLOOKUP(A39,老年助餐方向基础数据!$A$2:$H$38,6,0)</f>
        <v>2349</v>
      </c>
      <c r="M39" s="20">
        <f t="shared" si="12"/>
        <v>3338</v>
      </c>
      <c r="N39" s="20">
        <f t="shared" si="6"/>
        <v>1.95962169556003</v>
      </c>
      <c r="O39" s="62">
        <f>VLOOKUP(A39,老年助餐方向基础数据!$A$2:$H$38,7,0)</f>
        <v>8579</v>
      </c>
      <c r="P39" s="20">
        <f t="shared" si="13"/>
        <v>8579</v>
      </c>
      <c r="Q39" s="20">
        <f t="shared" si="7"/>
        <v>2.47463777522016</v>
      </c>
      <c r="R39" s="20">
        <f>(N39*$N$5+Q39*$Q$5)*$R$5</f>
        <v>0.907452537342444</v>
      </c>
      <c r="S39" s="20">
        <f t="shared" si="8"/>
        <v>2.6124239846306</v>
      </c>
      <c r="T39" s="20"/>
      <c r="U39" s="20" t="e">
        <f t="shared" si="9"/>
        <v>#DIV/0!</v>
      </c>
      <c r="V39" s="70">
        <v>0.173410404624277</v>
      </c>
      <c r="W39" s="71">
        <f t="shared" si="14"/>
        <v>1.07705263864719</v>
      </c>
      <c r="X39" s="20">
        <f t="shared" si="15"/>
        <v>2.81371814591158</v>
      </c>
      <c r="Y39" s="74">
        <f t="shared" si="10"/>
        <v>423</v>
      </c>
      <c r="Z39" s="74">
        <f t="shared" si="11"/>
        <v>261</v>
      </c>
    </row>
    <row r="40" s="49" customFormat="true" ht="30" customHeight="true" spans="1:26">
      <c r="A40" s="61" t="s">
        <v>78</v>
      </c>
      <c r="B40" s="61" t="s">
        <v>124</v>
      </c>
      <c r="C40" s="62">
        <f>VLOOKUP(A40,老年助餐方向基础数据!$A$2:$H$38,2,0)</f>
        <v>1043364</v>
      </c>
      <c r="D40" s="63">
        <f t="shared" si="2"/>
        <v>1.16737320319272</v>
      </c>
      <c r="E40" s="62">
        <f>VLOOKUP(A40,老年助餐方向基础数据!$A$2:$H$38,3,0)</f>
        <v>3217627</v>
      </c>
      <c r="F40" s="20">
        <f t="shared" si="3"/>
        <v>1.84242207069817</v>
      </c>
      <c r="G40" s="62">
        <f>VLOOKUP(A40,老年助餐方向基础数据!$A$2:$H$38,4,0)</f>
        <v>38438</v>
      </c>
      <c r="H40" s="20">
        <f t="shared" si="4"/>
        <v>2.64537956702711</v>
      </c>
      <c r="I40" s="62">
        <f>VLOOKUP(A40,老年助餐方向基础数据!$A$2:$H$38,5,0)</f>
        <v>394465</v>
      </c>
      <c r="J40" s="20">
        <f t="shared" si="5"/>
        <v>2.97687124278158</v>
      </c>
      <c r="K40" s="20">
        <f>(D40*$D$5+F40*$F$5+H40*$H$5+J40*$J$5)*$K$5</f>
        <v>1.32500312885274</v>
      </c>
      <c r="L40" s="62">
        <f>VLOOKUP(A40,老年助餐方向基础数据!$A$2:$H$38,6,0)</f>
        <v>2620</v>
      </c>
      <c r="M40" s="20">
        <f t="shared" si="12"/>
        <v>3338</v>
      </c>
      <c r="N40" s="20">
        <f t="shared" si="6"/>
        <v>1.95962169556003</v>
      </c>
      <c r="O40" s="62">
        <f>VLOOKUP(A40,老年助餐方向基础数据!$A$2:$H$38,7,0)</f>
        <v>6910</v>
      </c>
      <c r="P40" s="20">
        <f t="shared" si="13"/>
        <v>6931</v>
      </c>
      <c r="Q40" s="20">
        <f t="shared" si="7"/>
        <v>1.99926732953152</v>
      </c>
      <c r="R40" s="20">
        <f>(N40*$N$5+Q40*$Q$5)*$R$5</f>
        <v>0.793363630377171</v>
      </c>
      <c r="S40" s="20">
        <f t="shared" si="8"/>
        <v>2.11836675922991</v>
      </c>
      <c r="T40" s="20"/>
      <c r="U40" s="20" t="e">
        <f t="shared" si="9"/>
        <v>#DIV/0!</v>
      </c>
      <c r="V40" s="70">
        <v>1.15046296296296</v>
      </c>
      <c r="W40" s="71">
        <f t="shared" si="14"/>
        <v>1.5111931268151</v>
      </c>
      <c r="X40" s="20">
        <f t="shared" si="15"/>
        <v>3.20126128662181</v>
      </c>
      <c r="Y40" s="74">
        <f t="shared" si="10"/>
        <v>482</v>
      </c>
      <c r="Z40" s="74">
        <f t="shared" si="11"/>
        <v>212</v>
      </c>
    </row>
    <row r="41" s="49" customFormat="true" ht="30" customHeight="true" spans="1:26">
      <c r="A41" s="61" t="s">
        <v>81</v>
      </c>
      <c r="B41" s="61" t="s">
        <v>124</v>
      </c>
      <c r="C41" s="62">
        <f>VLOOKUP(A41,老年助餐方向基础数据!$A$2:$H$38,2,0)</f>
        <v>280069</v>
      </c>
      <c r="D41" s="63">
        <f t="shared" si="2"/>
        <v>0.313356647962728</v>
      </c>
      <c r="E41" s="62">
        <f>VLOOKUP(A41,老年助餐方向基础数据!$A$2:$H$38,3,0)</f>
        <v>439333</v>
      </c>
      <c r="F41" s="20">
        <f t="shared" si="3"/>
        <v>0.251563284242095</v>
      </c>
      <c r="G41" s="62">
        <f>VLOOKUP(A41,老年助餐方向基础数据!$A$2:$H$38,4,0)</f>
        <v>17344</v>
      </c>
      <c r="H41" s="20">
        <f t="shared" si="4"/>
        <v>1.19364855638998</v>
      </c>
      <c r="I41" s="62">
        <f>VLOOKUP(A41,老年助餐方向基础数据!$A$2:$H$38,5,0)</f>
        <v>59273</v>
      </c>
      <c r="J41" s="20">
        <f t="shared" si="5"/>
        <v>0.447309873305344</v>
      </c>
      <c r="K41" s="20">
        <f>(D41*$D$5+F41*$F$5+H41*$H$5+J41*$J$5)*$K$5</f>
        <v>0.306637792880864</v>
      </c>
      <c r="L41" s="62">
        <f>VLOOKUP(A41,老年助餐方向基础数据!$A$2:$H$38,6,0)</f>
        <v>422</v>
      </c>
      <c r="M41" s="20">
        <f t="shared" si="12"/>
        <v>3338</v>
      </c>
      <c r="N41" s="20">
        <f t="shared" si="6"/>
        <v>1.95962169556003</v>
      </c>
      <c r="O41" s="62">
        <f>VLOOKUP(A41,老年助餐方向基础数据!$A$2:$H$38,7,0)</f>
        <v>1128</v>
      </c>
      <c r="P41" s="20">
        <f t="shared" si="13"/>
        <v>6931</v>
      </c>
      <c r="Q41" s="20">
        <f t="shared" si="7"/>
        <v>1.99926732953152</v>
      </c>
      <c r="R41" s="20">
        <f>(N41*$N$5+Q41*$Q$5)*$R$5</f>
        <v>0.793363630377171</v>
      </c>
      <c r="S41" s="20">
        <f t="shared" si="8"/>
        <v>1.10000142325804</v>
      </c>
      <c r="T41" s="20"/>
      <c r="U41" s="20" t="e">
        <f t="shared" si="9"/>
        <v>#DIV/0!</v>
      </c>
      <c r="V41" s="70">
        <v>0.683720930232558</v>
      </c>
      <c r="W41" s="71">
        <f t="shared" si="14"/>
        <v>1.30380242688939</v>
      </c>
      <c r="X41" s="20">
        <f t="shared" si="15"/>
        <v>1.43418452522561</v>
      </c>
      <c r="Y41" s="74">
        <f t="shared" si="10"/>
        <v>216</v>
      </c>
      <c r="Z41" s="74">
        <f t="shared" si="11"/>
        <v>110</v>
      </c>
    </row>
    <row r="42" s="49" customFormat="true" ht="30" customHeight="true" spans="1:26">
      <c r="A42" s="61" t="s">
        <v>83</v>
      </c>
      <c r="B42" s="61" t="s">
        <v>124</v>
      </c>
      <c r="C42" s="62">
        <f>VLOOKUP(A42,老年助餐方向基础数据!$A$2:$H$38,2,0)</f>
        <v>375049</v>
      </c>
      <c r="D42" s="63">
        <f t="shared" si="2"/>
        <v>0.419625511790926</v>
      </c>
      <c r="E42" s="62">
        <f>VLOOKUP(A42,老年助餐方向基础数据!$A$2:$H$38,3,0)</f>
        <v>599093</v>
      </c>
      <c r="F42" s="20">
        <f t="shared" si="3"/>
        <v>0.343042299682586</v>
      </c>
      <c r="G42" s="62">
        <f>VLOOKUP(A42,老年助餐方向基础数据!$A$2:$H$38,4,0)</f>
        <v>14459</v>
      </c>
      <c r="H42" s="20">
        <f t="shared" si="4"/>
        <v>0.995097121589182</v>
      </c>
      <c r="I42" s="62">
        <f>VLOOKUP(A42,老年助餐方向基础数据!$A$2:$H$38,5,0)</f>
        <v>161619</v>
      </c>
      <c r="J42" s="20">
        <f t="shared" si="5"/>
        <v>1.2196746311767</v>
      </c>
      <c r="K42" s="20">
        <f>(D42*$D$5+F42*$F$5+H42*$H$5+J42*$J$5)*$K$5</f>
        <v>0.451055763560284</v>
      </c>
      <c r="L42" s="62">
        <f>VLOOKUP(A42,老年助餐方向基础数据!$A$2:$H$38,6,0)</f>
        <v>673</v>
      </c>
      <c r="M42" s="20">
        <f t="shared" si="12"/>
        <v>3338</v>
      </c>
      <c r="N42" s="20">
        <f t="shared" si="6"/>
        <v>1.95962169556003</v>
      </c>
      <c r="O42" s="62">
        <f>VLOOKUP(A42,老年助餐方向基础数据!$A$2:$H$38,7,0)</f>
        <v>957</v>
      </c>
      <c r="P42" s="20">
        <f t="shared" si="13"/>
        <v>6931</v>
      </c>
      <c r="Q42" s="20">
        <f t="shared" si="7"/>
        <v>1.99926732953152</v>
      </c>
      <c r="R42" s="20">
        <f>(N42*$N$5+Q42*$Q$5)*$R$5</f>
        <v>0.793363630377171</v>
      </c>
      <c r="S42" s="20">
        <f t="shared" si="8"/>
        <v>1.24441939393745</v>
      </c>
      <c r="T42" s="20"/>
      <c r="U42" s="20" t="e">
        <f t="shared" si="9"/>
        <v>#DIV/0!</v>
      </c>
      <c r="V42" s="70">
        <v>1.35245901639344</v>
      </c>
      <c r="W42" s="71">
        <f t="shared" si="14"/>
        <v>1.60094742354752</v>
      </c>
      <c r="X42" s="20">
        <f t="shared" si="15"/>
        <v>1.99225002253673</v>
      </c>
      <c r="Y42" s="74">
        <f t="shared" si="10"/>
        <v>300</v>
      </c>
      <c r="Z42" s="74">
        <f t="shared" si="11"/>
        <v>124</v>
      </c>
    </row>
    <row r="43" s="49" customFormat="true" ht="30" customHeight="true" spans="1:26">
      <c r="A43" s="61" t="s">
        <v>85</v>
      </c>
      <c r="B43" s="61" t="s">
        <v>124</v>
      </c>
      <c r="C43" s="62">
        <f>VLOOKUP(A43,老年助餐方向基础数据!$A$2:$H$38,2,0)</f>
        <v>1065501</v>
      </c>
      <c r="D43" s="63">
        <f t="shared" si="2"/>
        <v>1.19214130004011</v>
      </c>
      <c r="E43" s="62">
        <f>VLOOKUP(A43,老年助餐方向基础数据!$A$2:$H$38,3,0)</f>
        <v>1648754</v>
      </c>
      <c r="F43" s="20">
        <f t="shared" si="3"/>
        <v>0.944081075510585</v>
      </c>
      <c r="G43" s="62">
        <f>VLOOKUP(A43,老年助餐方向基础数据!$A$2:$H$38,4,0)</f>
        <v>47243</v>
      </c>
      <c r="H43" s="20">
        <f t="shared" si="4"/>
        <v>3.2513571695994</v>
      </c>
      <c r="I43" s="62">
        <f>VLOOKUP(A43,老年助餐方向基础数据!$A$2:$H$38,5,0)</f>
        <v>270144</v>
      </c>
      <c r="J43" s="20">
        <f t="shared" si="5"/>
        <v>2.03866985666659</v>
      </c>
      <c r="K43" s="20">
        <f>(D43*$D$5+F43*$F$5+H43*$H$5+J43*$J$5)*$K$5</f>
        <v>1.07011498414863</v>
      </c>
      <c r="L43" s="62">
        <f>2056-L44</f>
        <v>1940</v>
      </c>
      <c r="M43" s="20">
        <f t="shared" si="12"/>
        <v>3338</v>
      </c>
      <c r="N43" s="20">
        <f t="shared" si="6"/>
        <v>1.95962169556003</v>
      </c>
      <c r="O43" s="62">
        <f>VLOOKUP(A43,老年助餐方向基础数据!$A$2:$H$38,7,0)</f>
        <v>926</v>
      </c>
      <c r="P43" s="20">
        <f t="shared" si="13"/>
        <v>6931</v>
      </c>
      <c r="Q43" s="20">
        <f t="shared" si="7"/>
        <v>1.99926732953152</v>
      </c>
      <c r="R43" s="20">
        <f>(N43*$N$5+Q43*$Q$5)*$R$5</f>
        <v>0.793363630377171</v>
      </c>
      <c r="S43" s="20">
        <f t="shared" si="8"/>
        <v>1.8634786145258</v>
      </c>
      <c r="T43" s="20"/>
      <c r="U43" s="20" t="e">
        <f t="shared" si="9"/>
        <v>#DIV/0!</v>
      </c>
      <c r="V43" s="70">
        <v>2.25054466230937</v>
      </c>
      <c r="W43" s="71">
        <f t="shared" si="14"/>
        <v>2</v>
      </c>
      <c r="X43" s="20">
        <f t="shared" si="15"/>
        <v>3.72695722905161</v>
      </c>
      <c r="Y43" s="74">
        <f t="shared" si="10"/>
        <v>561</v>
      </c>
      <c r="Z43" s="74">
        <f t="shared" si="11"/>
        <v>186</v>
      </c>
    </row>
    <row r="44" s="49" customFormat="true" ht="30" customHeight="true" spans="1:26">
      <c r="A44" s="61" t="s">
        <v>87</v>
      </c>
      <c r="B44" s="61" t="s">
        <v>124</v>
      </c>
      <c r="C44" s="62">
        <f>VLOOKUP(A44,老年助餐方向基础数据!$A$2:$H$38,2,0)</f>
        <v>116661</v>
      </c>
      <c r="D44" s="63">
        <f t="shared" si="2"/>
        <v>0.130526762719115</v>
      </c>
      <c r="E44" s="62">
        <f>VLOOKUP(A44,老年助餐方向基础数据!$A$2:$H$38,3,0)</f>
        <v>86093</v>
      </c>
      <c r="F44" s="20">
        <f t="shared" si="3"/>
        <v>0.0492970886099035</v>
      </c>
      <c r="G44" s="62">
        <f>VLOOKUP(A44,老年助餐方向基础数据!$A$2:$H$38,4,0)</f>
        <v>0</v>
      </c>
      <c r="H44" s="20">
        <f t="shared" si="4"/>
        <v>0</v>
      </c>
      <c r="I44" s="62">
        <f>VLOOKUP(A44,老年助餐方向基础数据!$A$2:$H$38,5,0)</f>
        <v>0</v>
      </c>
      <c r="J44" s="20">
        <f t="shared" si="5"/>
        <v>0</v>
      </c>
      <c r="K44" s="20">
        <f>(D44*$D$5+F44*$F$5+H44*$H$5+J44*$J$5)*$K$5</f>
        <v>0.0245366874760764</v>
      </c>
      <c r="L44" s="62">
        <v>116</v>
      </c>
      <c r="M44" s="20">
        <f t="shared" si="12"/>
        <v>3338</v>
      </c>
      <c r="N44" s="20">
        <f t="shared" si="6"/>
        <v>1.95962169556003</v>
      </c>
      <c r="O44" s="62"/>
      <c r="P44" s="20">
        <v>0</v>
      </c>
      <c r="Q44" s="20">
        <f t="shared" si="7"/>
        <v>0</v>
      </c>
      <c r="R44" s="20">
        <f>(N44*$N$5+Q44*$Q$5)*$R$5</f>
        <v>0.313539471289605</v>
      </c>
      <c r="S44" s="20">
        <f t="shared" si="8"/>
        <v>0.338076158765681</v>
      </c>
      <c r="T44" s="20"/>
      <c r="U44" s="20" t="e">
        <f t="shared" si="9"/>
        <v>#DIV/0!</v>
      </c>
      <c r="V44" s="70">
        <v>0.881578947368421</v>
      </c>
      <c r="W44" s="71">
        <f t="shared" si="14"/>
        <v>1.39171804147348</v>
      </c>
      <c r="X44" s="20">
        <f t="shared" si="15"/>
        <v>0.470506689546251</v>
      </c>
      <c r="Y44" s="74">
        <f t="shared" si="10"/>
        <v>71</v>
      </c>
      <c r="Z44" s="74">
        <f t="shared" si="11"/>
        <v>34</v>
      </c>
    </row>
    <row r="45" s="49" customFormat="true" ht="172.95" customHeight="true" spans="1:27">
      <c r="A45" s="64" t="s">
        <v>198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72"/>
      <c r="Y45" s="76"/>
      <c r="Z45" s="76"/>
      <c r="AA45" s="76"/>
    </row>
    <row r="46" ht="20.25" spans="1:25">
      <c r="A46" s="65"/>
      <c r="B46" s="65"/>
      <c r="Y46" s="77"/>
    </row>
    <row r="47" ht="20.25" spans="1:2">
      <c r="A47" s="66"/>
      <c r="B47" s="67"/>
    </row>
  </sheetData>
  <mergeCells count="32">
    <mergeCell ref="A1:Y1"/>
    <mergeCell ref="C2:F2"/>
    <mergeCell ref="G2:J2"/>
    <mergeCell ref="L2:Q2"/>
    <mergeCell ref="T2:U2"/>
    <mergeCell ref="A45:T45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2:K4"/>
    <mergeCell ref="L3:L4"/>
    <mergeCell ref="M3:M4"/>
    <mergeCell ref="N3:N4"/>
    <mergeCell ref="O3:O4"/>
    <mergeCell ref="P3:P4"/>
    <mergeCell ref="Q3:Q4"/>
    <mergeCell ref="R2:R4"/>
    <mergeCell ref="S2:S4"/>
    <mergeCell ref="T3:T4"/>
    <mergeCell ref="U3:U4"/>
    <mergeCell ref="V2:V4"/>
    <mergeCell ref="W2:W4"/>
    <mergeCell ref="X2:X4"/>
    <mergeCell ref="Y2:Y4"/>
    <mergeCell ref="Z2:Z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B30" sqref="B30:E30"/>
    </sheetView>
  </sheetViews>
  <sheetFormatPr defaultColWidth="9" defaultRowHeight="15.75" outlineLevelCol="5"/>
  <cols>
    <col min="2" max="2" width="19.0833333333333" customWidth="true"/>
    <col min="3" max="3" width="26.9166666666667" customWidth="true"/>
    <col min="4" max="4" width="22.75" customWidth="true"/>
    <col min="5" max="5" width="35.7083333333333" style="23" customWidth="true"/>
    <col min="6" max="6" width="26.0666666666667" customWidth="true"/>
  </cols>
  <sheetData>
    <row r="1" ht="18.75" spans="1:6">
      <c r="A1" s="24" t="s">
        <v>90</v>
      </c>
      <c r="B1" s="24" t="s">
        <v>199</v>
      </c>
      <c r="C1" s="24" t="s">
        <v>92</v>
      </c>
      <c r="D1" s="25" t="s">
        <v>200</v>
      </c>
      <c r="E1" s="25" t="s">
        <v>201</v>
      </c>
      <c r="F1" s="25" t="s">
        <v>202</v>
      </c>
    </row>
    <row r="2" ht="18.75" spans="1:6">
      <c r="A2" s="26">
        <v>1</v>
      </c>
      <c r="B2" s="27" t="s">
        <v>161</v>
      </c>
      <c r="C2" s="27" t="s">
        <v>13</v>
      </c>
      <c r="D2" s="28" t="s">
        <v>118</v>
      </c>
      <c r="E2" s="44">
        <v>21.9</v>
      </c>
      <c r="F2" s="27">
        <v>924</v>
      </c>
    </row>
    <row r="3" s="22" customFormat="true" ht="18.75" spans="1:6">
      <c r="A3" s="29">
        <v>2</v>
      </c>
      <c r="B3" s="30" t="s">
        <v>158</v>
      </c>
      <c r="C3" s="30" t="s">
        <v>15</v>
      </c>
      <c r="D3" s="28" t="s">
        <v>118</v>
      </c>
      <c r="E3" s="29">
        <v>26.91</v>
      </c>
      <c r="F3" s="29">
        <v>6181</v>
      </c>
    </row>
    <row r="4" ht="18.75" spans="1:6">
      <c r="A4" s="26">
        <v>3</v>
      </c>
      <c r="B4" s="27" t="s">
        <v>117</v>
      </c>
      <c r="C4" s="27" t="s">
        <v>17</v>
      </c>
      <c r="D4" s="28" t="s">
        <v>118</v>
      </c>
      <c r="E4" s="28">
        <v>200.42</v>
      </c>
      <c r="F4" s="45">
        <v>39452</v>
      </c>
    </row>
    <row r="5" ht="18.75" spans="1:6">
      <c r="A5" s="26">
        <v>4</v>
      </c>
      <c r="B5" s="27" t="s">
        <v>117</v>
      </c>
      <c r="C5" s="27" t="s">
        <v>18</v>
      </c>
      <c r="D5" s="28" t="s">
        <v>118</v>
      </c>
      <c r="E5" s="28">
        <v>120.46</v>
      </c>
      <c r="F5" s="45">
        <v>16916</v>
      </c>
    </row>
    <row r="6" ht="18.75" spans="1:6">
      <c r="A6" s="26">
        <v>5</v>
      </c>
      <c r="B6" s="27" t="s">
        <v>143</v>
      </c>
      <c r="C6" s="27" t="s">
        <v>20</v>
      </c>
      <c r="D6" s="27" t="s">
        <v>144</v>
      </c>
      <c r="E6" s="27">
        <v>54.433</v>
      </c>
      <c r="F6" s="27">
        <v>1.87</v>
      </c>
    </row>
    <row r="7" s="22" customFormat="true" ht="75" spans="1:6">
      <c r="A7" s="29">
        <v>6</v>
      </c>
      <c r="B7" s="30" t="s">
        <v>140</v>
      </c>
      <c r="C7" s="30" t="s">
        <v>22</v>
      </c>
      <c r="D7" s="31" t="s">
        <v>141</v>
      </c>
      <c r="E7" s="29">
        <v>67.12</v>
      </c>
      <c r="F7" s="29">
        <v>5638</v>
      </c>
    </row>
    <row r="8" ht="18.75" spans="1:6">
      <c r="A8" s="26">
        <v>7</v>
      </c>
      <c r="B8" s="27" t="s">
        <v>138</v>
      </c>
      <c r="C8" s="27" t="s">
        <v>24</v>
      </c>
      <c r="D8" s="27" t="s">
        <v>118</v>
      </c>
      <c r="E8" s="27">
        <v>77.66</v>
      </c>
      <c r="F8" s="27">
        <v>12461</v>
      </c>
    </row>
    <row r="9" ht="150" spans="1:6">
      <c r="A9" s="26">
        <v>8</v>
      </c>
      <c r="B9" s="27" t="s">
        <v>110</v>
      </c>
      <c r="C9" s="27" t="s">
        <v>27</v>
      </c>
      <c r="D9" s="32" t="s">
        <v>111</v>
      </c>
      <c r="E9" s="26">
        <v>237.7551</v>
      </c>
      <c r="F9" s="26">
        <v>54146</v>
      </c>
    </row>
    <row r="10" ht="225" spans="1:6">
      <c r="A10" s="26">
        <v>9</v>
      </c>
      <c r="B10" s="27" t="s">
        <v>103</v>
      </c>
      <c r="C10" s="27" t="s">
        <v>29</v>
      </c>
      <c r="D10" s="33" t="s">
        <v>203</v>
      </c>
      <c r="E10" s="27">
        <v>290.81</v>
      </c>
      <c r="F10" s="27">
        <v>33392</v>
      </c>
    </row>
    <row r="11" ht="18.75" spans="1:6">
      <c r="A11" s="26">
        <v>10</v>
      </c>
      <c r="B11" s="27" t="s">
        <v>157</v>
      </c>
      <c r="C11" s="27" t="s">
        <v>31</v>
      </c>
      <c r="D11" s="27" t="s">
        <v>31</v>
      </c>
      <c r="E11" s="27">
        <v>27.66</v>
      </c>
      <c r="F11" s="27">
        <v>9685</v>
      </c>
    </row>
    <row r="12" ht="93.75" spans="1:6">
      <c r="A12" s="26">
        <v>11</v>
      </c>
      <c r="B12" s="27" t="s">
        <v>113</v>
      </c>
      <c r="C12" s="27" t="s">
        <v>33</v>
      </c>
      <c r="D12" s="34" t="s">
        <v>114</v>
      </c>
      <c r="E12" s="46">
        <v>222.54</v>
      </c>
      <c r="F12" s="46">
        <v>52000</v>
      </c>
    </row>
    <row r="13" ht="56.25" spans="1:6">
      <c r="A13" s="26">
        <v>12</v>
      </c>
      <c r="B13" s="27" t="s">
        <v>113</v>
      </c>
      <c r="C13" s="27" t="s">
        <v>34</v>
      </c>
      <c r="D13" s="34" t="s">
        <v>121</v>
      </c>
      <c r="E13" s="46">
        <v>159.5</v>
      </c>
      <c r="F13" s="46">
        <v>38000</v>
      </c>
    </row>
    <row r="14" ht="37.5" spans="1:6">
      <c r="A14" s="26">
        <v>13</v>
      </c>
      <c r="B14" s="27" t="s">
        <v>119</v>
      </c>
      <c r="C14" s="27" t="s">
        <v>36</v>
      </c>
      <c r="D14" s="35" t="s">
        <v>154</v>
      </c>
      <c r="E14" s="27">
        <v>35.41</v>
      </c>
      <c r="F14" s="27">
        <v>1437</v>
      </c>
    </row>
    <row r="15" ht="112.5" spans="1:6">
      <c r="A15" s="26">
        <v>14</v>
      </c>
      <c r="B15" s="27" t="s">
        <v>119</v>
      </c>
      <c r="C15" s="27" t="s">
        <v>38</v>
      </c>
      <c r="D15" s="35" t="s">
        <v>120</v>
      </c>
      <c r="E15" s="27">
        <v>196.36</v>
      </c>
      <c r="F15" s="27">
        <v>43960</v>
      </c>
    </row>
    <row r="16" ht="75" spans="1:6">
      <c r="A16" s="26">
        <v>15</v>
      </c>
      <c r="B16" s="27" t="s">
        <v>133</v>
      </c>
      <c r="C16" s="27" t="s">
        <v>40</v>
      </c>
      <c r="D16" s="36" t="s">
        <v>134</v>
      </c>
      <c r="E16" s="27">
        <v>90.1</v>
      </c>
      <c r="F16" s="27">
        <v>16473</v>
      </c>
    </row>
    <row r="17" spans="1:6">
      <c r="A17" s="37">
        <v>16</v>
      </c>
      <c r="B17" s="38" t="s">
        <v>159</v>
      </c>
      <c r="C17" s="38" t="s">
        <v>44</v>
      </c>
      <c r="D17" s="39" t="s">
        <v>160</v>
      </c>
      <c r="E17" s="39">
        <v>26.31</v>
      </c>
      <c r="F17" s="39">
        <v>7292</v>
      </c>
    </row>
    <row r="18" ht="26" customHeight="true" spans="1:6">
      <c r="A18" s="40"/>
      <c r="B18" s="40"/>
      <c r="C18" s="40"/>
      <c r="D18" s="41"/>
      <c r="E18" s="41"/>
      <c r="F18" s="41"/>
    </row>
    <row r="19" ht="112.5" spans="1:6">
      <c r="A19" s="26">
        <v>17</v>
      </c>
      <c r="B19" s="27" t="s">
        <v>106</v>
      </c>
      <c r="C19" s="27" t="s">
        <v>46</v>
      </c>
      <c r="D19" s="42" t="s">
        <v>107</v>
      </c>
      <c r="E19" s="47">
        <v>259.15</v>
      </c>
      <c r="F19" s="47">
        <v>56344</v>
      </c>
    </row>
    <row r="20" ht="37.5" spans="1:6">
      <c r="A20" s="26">
        <v>18</v>
      </c>
      <c r="B20" s="27" t="s">
        <v>106</v>
      </c>
      <c r="C20" s="27" t="s">
        <v>47</v>
      </c>
      <c r="D20" s="42" t="s">
        <v>153</v>
      </c>
      <c r="E20" s="47">
        <v>39.57</v>
      </c>
      <c r="F20" s="47">
        <v>6022</v>
      </c>
    </row>
    <row r="21" ht="37.5" spans="1:6">
      <c r="A21" s="26">
        <v>19</v>
      </c>
      <c r="B21" s="27" t="s">
        <v>106</v>
      </c>
      <c r="C21" s="27" t="s">
        <v>48</v>
      </c>
      <c r="D21" s="42" t="s">
        <v>139</v>
      </c>
      <c r="E21" s="47">
        <v>77.21</v>
      </c>
      <c r="F21" s="47">
        <v>10110</v>
      </c>
    </row>
    <row r="22" ht="18.75" spans="1:6">
      <c r="A22" s="26">
        <v>20</v>
      </c>
      <c r="B22" s="27" t="s">
        <v>115</v>
      </c>
      <c r="C22" s="27" t="s">
        <v>51</v>
      </c>
      <c r="D22" s="42" t="s">
        <v>116</v>
      </c>
      <c r="E22" s="48">
        <v>219.7</v>
      </c>
      <c r="F22" s="47">
        <v>59579</v>
      </c>
    </row>
    <row r="23" ht="18.75" spans="1:6">
      <c r="A23" s="26">
        <v>21</v>
      </c>
      <c r="B23" s="27" t="s">
        <v>115</v>
      </c>
      <c r="C23" s="27" t="s">
        <v>52</v>
      </c>
      <c r="D23" s="42" t="s">
        <v>116</v>
      </c>
      <c r="E23" s="47">
        <v>105.1</v>
      </c>
      <c r="F23" s="47">
        <v>24879</v>
      </c>
    </row>
    <row r="24" ht="37.5" spans="1:6">
      <c r="A24" s="26">
        <v>22</v>
      </c>
      <c r="B24" s="27" t="s">
        <v>108</v>
      </c>
      <c r="C24" s="27" t="s">
        <v>54</v>
      </c>
      <c r="D24" s="35" t="s">
        <v>109</v>
      </c>
      <c r="E24" s="27">
        <v>238.12</v>
      </c>
      <c r="F24" s="27">
        <v>45000</v>
      </c>
    </row>
    <row r="25" ht="150" spans="1:6">
      <c r="A25" s="26">
        <v>23</v>
      </c>
      <c r="B25" s="27" t="s">
        <v>108</v>
      </c>
      <c r="C25" s="27" t="s">
        <v>55</v>
      </c>
      <c r="D25" s="35" t="s">
        <v>112</v>
      </c>
      <c r="E25" s="27">
        <v>228.7082</v>
      </c>
      <c r="F25" s="27">
        <v>47464</v>
      </c>
    </row>
    <row r="26" ht="56.25" spans="1:6">
      <c r="A26" s="26">
        <v>24</v>
      </c>
      <c r="B26" s="27" t="s">
        <v>122</v>
      </c>
      <c r="C26" s="27" t="s">
        <v>57</v>
      </c>
      <c r="D26" s="34" t="s">
        <v>142</v>
      </c>
      <c r="E26" s="46">
        <v>61.54</v>
      </c>
      <c r="F26" s="46">
        <v>10960</v>
      </c>
    </row>
    <row r="27" ht="75" spans="1:6">
      <c r="A27" s="26">
        <v>25</v>
      </c>
      <c r="B27" s="27" t="s">
        <v>122</v>
      </c>
      <c r="C27" s="27" t="s">
        <v>58</v>
      </c>
      <c r="D27" s="34" t="s">
        <v>123</v>
      </c>
      <c r="E27" s="46">
        <v>117.8</v>
      </c>
      <c r="F27" s="46">
        <v>16007</v>
      </c>
    </row>
    <row r="28" ht="75" spans="1:6">
      <c r="A28" s="26">
        <v>26</v>
      </c>
      <c r="B28" s="27" t="s">
        <v>127</v>
      </c>
      <c r="C28" s="27" t="s">
        <v>60</v>
      </c>
      <c r="D28" s="35" t="s">
        <v>128</v>
      </c>
      <c r="E28" s="27">
        <v>108.11</v>
      </c>
      <c r="F28" s="27">
        <v>14240</v>
      </c>
    </row>
    <row r="29" ht="18.75" spans="1:6">
      <c r="A29" s="26">
        <v>27</v>
      </c>
      <c r="B29" s="27" t="s">
        <v>145</v>
      </c>
      <c r="C29" s="27" t="s">
        <v>63</v>
      </c>
      <c r="D29" s="27" t="s">
        <v>146</v>
      </c>
      <c r="E29" s="27">
        <v>46</v>
      </c>
      <c r="F29" s="27">
        <v>6700</v>
      </c>
    </row>
    <row r="30" ht="18.75" spans="1:6">
      <c r="A30" s="26">
        <v>28</v>
      </c>
      <c r="B30" s="27" t="s">
        <v>156</v>
      </c>
      <c r="C30" s="27" t="s">
        <v>66</v>
      </c>
      <c r="D30" s="27" t="s">
        <v>66</v>
      </c>
      <c r="E30" s="27">
        <v>16.96</v>
      </c>
      <c r="F30" s="27">
        <v>4720</v>
      </c>
    </row>
    <row r="31" ht="18.75" spans="1:6">
      <c r="A31" s="26">
        <v>29</v>
      </c>
      <c r="B31" s="27" t="s">
        <v>156</v>
      </c>
      <c r="C31" s="27" t="s">
        <v>67</v>
      </c>
      <c r="D31" s="27" t="s">
        <v>67</v>
      </c>
      <c r="E31" s="27">
        <v>33.15</v>
      </c>
      <c r="F31" s="27">
        <v>6550</v>
      </c>
    </row>
    <row r="32" ht="18.75" spans="1:6">
      <c r="A32" s="26">
        <v>30</v>
      </c>
      <c r="B32" s="27" t="s">
        <v>129</v>
      </c>
      <c r="C32" s="27" t="s">
        <v>69</v>
      </c>
      <c r="D32" s="35" t="s">
        <v>130</v>
      </c>
      <c r="E32" s="27">
        <v>107.8</v>
      </c>
      <c r="F32" s="27">
        <v>12266</v>
      </c>
    </row>
    <row r="33" ht="150" spans="1:6">
      <c r="A33" s="26">
        <v>31</v>
      </c>
      <c r="B33" s="27" t="s">
        <v>125</v>
      </c>
      <c r="C33" s="27" t="s">
        <v>71</v>
      </c>
      <c r="D33" s="35" t="s">
        <v>137</v>
      </c>
      <c r="E33" s="27">
        <v>78.07</v>
      </c>
      <c r="F33" s="27">
        <v>4651</v>
      </c>
    </row>
    <row r="34" ht="93.75" spans="1:6">
      <c r="A34" s="26">
        <v>32</v>
      </c>
      <c r="B34" s="27" t="s">
        <v>125</v>
      </c>
      <c r="C34" s="27" t="s">
        <v>72</v>
      </c>
      <c r="D34" s="36" t="s">
        <v>126</v>
      </c>
      <c r="E34" s="27">
        <v>110.3225</v>
      </c>
      <c r="F34" s="27">
        <v>6656</v>
      </c>
    </row>
    <row r="35" ht="18.75" spans="1:6">
      <c r="A35" s="26">
        <v>33</v>
      </c>
      <c r="B35" s="27" t="s">
        <v>135</v>
      </c>
      <c r="C35" s="27" t="s">
        <v>74</v>
      </c>
      <c r="D35" s="27" t="s">
        <v>136</v>
      </c>
      <c r="E35" s="27">
        <v>85.3052</v>
      </c>
      <c r="F35" s="27">
        <v>7943</v>
      </c>
    </row>
    <row r="36" ht="18.75" spans="1:6">
      <c r="A36" s="26">
        <v>34</v>
      </c>
      <c r="B36" s="27" t="s">
        <v>147</v>
      </c>
      <c r="C36" s="27" t="s">
        <v>77</v>
      </c>
      <c r="D36" s="26" t="s">
        <v>148</v>
      </c>
      <c r="E36" s="26">
        <v>44.1</v>
      </c>
      <c r="F36" s="26">
        <v>9597</v>
      </c>
    </row>
    <row r="37" ht="56.25" spans="1:6">
      <c r="A37" s="26">
        <v>35</v>
      </c>
      <c r="B37" s="27" t="s">
        <v>131</v>
      </c>
      <c r="C37" s="27" t="s">
        <v>79</v>
      </c>
      <c r="D37" s="43" t="s">
        <v>155</v>
      </c>
      <c r="E37" s="27">
        <v>33.47</v>
      </c>
      <c r="F37" s="27">
        <v>1590</v>
      </c>
    </row>
    <row r="38" ht="56.25" spans="1:6">
      <c r="A38" s="26">
        <v>36</v>
      </c>
      <c r="B38" s="27" t="s">
        <v>131</v>
      </c>
      <c r="C38" s="27" t="s">
        <v>80</v>
      </c>
      <c r="D38" s="35" t="s">
        <v>132</v>
      </c>
      <c r="E38" s="27">
        <v>103.8</v>
      </c>
      <c r="F38" s="27">
        <v>4360</v>
      </c>
    </row>
    <row r="39" ht="75" spans="1:6">
      <c r="A39" s="26">
        <v>37</v>
      </c>
      <c r="B39" s="27" t="s">
        <v>151</v>
      </c>
      <c r="C39" s="27" t="s">
        <v>82</v>
      </c>
      <c r="D39" s="35" t="s">
        <v>152</v>
      </c>
      <c r="E39" s="27">
        <v>40.73</v>
      </c>
      <c r="F39" s="27">
        <v>3174</v>
      </c>
    </row>
    <row r="40" ht="37.5" spans="1:6">
      <c r="A40" s="26">
        <v>38</v>
      </c>
      <c r="B40" s="27" t="s">
        <v>164</v>
      </c>
      <c r="C40" s="27" t="s">
        <v>84</v>
      </c>
      <c r="D40" s="35" t="s">
        <v>165</v>
      </c>
      <c r="E40" s="27">
        <v>18.91</v>
      </c>
      <c r="F40" s="27">
        <v>3505</v>
      </c>
    </row>
    <row r="41" s="22" customFormat="true" ht="18.75" spans="1:6">
      <c r="A41" s="29">
        <v>39</v>
      </c>
      <c r="B41" s="30" t="s">
        <v>149</v>
      </c>
      <c r="C41" s="30" t="s">
        <v>86</v>
      </c>
      <c r="D41" s="27" t="s">
        <v>150</v>
      </c>
      <c r="E41" s="27">
        <v>43.14</v>
      </c>
      <c r="F41" s="35">
        <v>3352</v>
      </c>
    </row>
    <row r="42" ht="337.5" spans="1:6">
      <c r="A42" s="26">
        <v>40</v>
      </c>
      <c r="B42" s="27" t="s">
        <v>162</v>
      </c>
      <c r="C42" s="27" t="s">
        <v>88</v>
      </c>
      <c r="D42" s="35" t="s">
        <v>163</v>
      </c>
      <c r="E42" s="27">
        <v>19.9443</v>
      </c>
      <c r="F42" s="27">
        <v>3712</v>
      </c>
    </row>
  </sheetData>
  <mergeCells count="6">
    <mergeCell ref="A17:A18"/>
    <mergeCell ref="B17:B18"/>
    <mergeCell ref="C17:C18"/>
    <mergeCell ref="D17:D18"/>
    <mergeCell ref="E17:E18"/>
    <mergeCell ref="F17:F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D8" sqref="D8"/>
    </sheetView>
  </sheetViews>
  <sheetFormatPr defaultColWidth="9" defaultRowHeight="15.75" outlineLevelCol="7"/>
  <cols>
    <col min="1" max="1" width="25.5" customWidth="true"/>
    <col min="8" max="8" width="12.625"/>
  </cols>
  <sheetData>
    <row r="1" ht="93.75" spans="1:8">
      <c r="A1" s="17" t="s">
        <v>92</v>
      </c>
      <c r="B1" s="17" t="s">
        <v>204</v>
      </c>
      <c r="C1" s="17" t="s">
        <v>205</v>
      </c>
      <c r="D1" s="17" t="s">
        <v>206</v>
      </c>
      <c r="E1" s="17" t="s">
        <v>207</v>
      </c>
      <c r="F1" s="17" t="s">
        <v>208</v>
      </c>
      <c r="G1" s="17" t="s">
        <v>209</v>
      </c>
      <c r="H1" s="17" t="s">
        <v>210</v>
      </c>
    </row>
    <row r="2" ht="18.75" spans="1:8">
      <c r="A2" s="18" t="s">
        <v>12</v>
      </c>
      <c r="B2" s="19">
        <v>3439742</v>
      </c>
      <c r="C2" s="19">
        <v>858848</v>
      </c>
      <c r="D2" s="20">
        <v>15072</v>
      </c>
      <c r="E2" s="21">
        <v>15008</v>
      </c>
      <c r="F2" s="20">
        <v>1168</v>
      </c>
      <c r="G2" s="20">
        <v>715</v>
      </c>
      <c r="H2" s="20">
        <f>财政困难系数!B7</f>
        <v>20</v>
      </c>
    </row>
    <row r="3" ht="18.75" spans="1:8">
      <c r="A3" s="18" t="s">
        <v>14</v>
      </c>
      <c r="B3" s="19">
        <v>2330050</v>
      </c>
      <c r="C3" s="19">
        <v>672638</v>
      </c>
      <c r="D3" s="20">
        <v>10035</v>
      </c>
      <c r="E3" s="21">
        <v>14091</v>
      </c>
      <c r="F3" s="20">
        <v>799</v>
      </c>
      <c r="G3" s="20">
        <v>792</v>
      </c>
      <c r="H3" s="20">
        <f>财政困难系数!B8</f>
        <v>46.6486276180881</v>
      </c>
    </row>
    <row r="4" ht="18.75" spans="1:8">
      <c r="A4" s="18" t="s">
        <v>16</v>
      </c>
      <c r="B4" s="19">
        <v>3691313</v>
      </c>
      <c r="C4" s="19">
        <v>11120735</v>
      </c>
      <c r="D4" s="20">
        <v>25921</v>
      </c>
      <c r="E4" s="21">
        <v>726373</v>
      </c>
      <c r="F4" s="20">
        <v>6137</v>
      </c>
      <c r="G4" s="20">
        <v>30218</v>
      </c>
      <c r="H4" s="20">
        <f>财政困难系数!B9</f>
        <v>67.7485057130513</v>
      </c>
    </row>
    <row r="5" ht="18.75" spans="1:8">
      <c r="A5" s="18" t="s">
        <v>19</v>
      </c>
      <c r="B5" s="19">
        <v>1963626</v>
      </c>
      <c r="C5" s="19">
        <v>4643399</v>
      </c>
      <c r="D5" s="20">
        <v>31706</v>
      </c>
      <c r="E5" s="21">
        <v>512474</v>
      </c>
      <c r="F5" s="20">
        <v>1257</v>
      </c>
      <c r="G5" s="20">
        <v>7003</v>
      </c>
      <c r="H5" s="20">
        <f>财政困难系数!B10</f>
        <v>63.2292574727142</v>
      </c>
    </row>
    <row r="6" ht="18.75" spans="1:8">
      <c r="A6" s="18" t="s">
        <v>21</v>
      </c>
      <c r="B6" s="19">
        <v>1552927</v>
      </c>
      <c r="C6" s="19">
        <v>3204306</v>
      </c>
      <c r="D6" s="20">
        <v>74562</v>
      </c>
      <c r="E6" s="21">
        <v>1012853</v>
      </c>
      <c r="F6" s="20">
        <v>1377</v>
      </c>
      <c r="G6" s="20">
        <v>2039</v>
      </c>
      <c r="H6" s="20">
        <f>财政困难系数!B11</f>
        <v>65.773817114675</v>
      </c>
    </row>
    <row r="7" ht="18.75" spans="1:8">
      <c r="A7" s="18" t="s">
        <v>23</v>
      </c>
      <c r="B7" s="19">
        <f>5947393-B8</f>
        <v>4947775</v>
      </c>
      <c r="C7" s="19">
        <f>5007074-C8</f>
        <v>4165502</v>
      </c>
      <c r="D7" s="20">
        <v>49807</v>
      </c>
      <c r="E7" s="21">
        <v>302733</v>
      </c>
      <c r="F7" s="20">
        <v>2834</v>
      </c>
      <c r="G7" s="20">
        <v>2871</v>
      </c>
      <c r="H7" s="20">
        <f>财政困难系数!B12</f>
        <v>73.2341945721413</v>
      </c>
    </row>
    <row r="8" ht="18.75" spans="1:8">
      <c r="A8" s="18" t="s">
        <v>25</v>
      </c>
      <c r="B8" s="19">
        <v>999618</v>
      </c>
      <c r="C8" s="19">
        <v>841572</v>
      </c>
      <c r="D8" s="20">
        <v>3859</v>
      </c>
      <c r="E8" s="21">
        <v>10365</v>
      </c>
      <c r="F8" s="20">
        <v>401</v>
      </c>
      <c r="G8" s="20">
        <v>1</v>
      </c>
      <c r="H8" s="20">
        <f>财政困难系数!B13</f>
        <v>46.7581609220622</v>
      </c>
    </row>
    <row r="9" ht="18.75" spans="1:8">
      <c r="A9" s="18" t="s">
        <v>26</v>
      </c>
      <c r="B9" s="19">
        <v>2186384</v>
      </c>
      <c r="C9" s="19">
        <v>3364781</v>
      </c>
      <c r="D9" s="20">
        <v>94292</v>
      </c>
      <c r="E9" s="21">
        <v>303178</v>
      </c>
      <c r="F9" s="20">
        <v>1605</v>
      </c>
      <c r="G9" s="20">
        <v>2430</v>
      </c>
      <c r="H9" s="20">
        <f>财政困难系数!B14</f>
        <v>78.8396234513595</v>
      </c>
    </row>
    <row r="10" ht="18.75" spans="1:8">
      <c r="A10" s="18" t="s">
        <v>28</v>
      </c>
      <c r="B10" s="19">
        <v>3163809</v>
      </c>
      <c r="C10" s="19">
        <v>4231881</v>
      </c>
      <c r="D10" s="20">
        <v>104079</v>
      </c>
      <c r="E10" s="21">
        <v>602190</v>
      </c>
      <c r="F10" s="20">
        <v>4479</v>
      </c>
      <c r="G10" s="20">
        <v>3594</v>
      </c>
      <c r="H10" s="20">
        <f>财政困难系数!B15</f>
        <v>78.45968749018</v>
      </c>
    </row>
    <row r="11" ht="18.75" spans="1:8">
      <c r="A11" s="18" t="s">
        <v>30</v>
      </c>
      <c r="B11" s="19">
        <v>4684475</v>
      </c>
      <c r="C11" s="19">
        <v>1130987</v>
      </c>
      <c r="D11" s="20">
        <v>11618</v>
      </c>
      <c r="E11" s="21">
        <v>15373</v>
      </c>
      <c r="F11" s="20">
        <v>9392</v>
      </c>
      <c r="G11" s="20">
        <v>4432</v>
      </c>
      <c r="H11" s="20">
        <f>财政困难系数!B16</f>
        <v>24.5137659604065</v>
      </c>
    </row>
    <row r="12" ht="18.75" spans="1:8">
      <c r="A12" s="18" t="s">
        <v>32</v>
      </c>
      <c r="B12" s="19">
        <v>6959821</v>
      </c>
      <c r="C12" s="19">
        <v>11545524</v>
      </c>
      <c r="D12" s="20">
        <v>22551</v>
      </c>
      <c r="E12" s="21">
        <v>229618</v>
      </c>
      <c r="F12" s="20">
        <v>8210</v>
      </c>
      <c r="G12" s="20">
        <v>9411</v>
      </c>
      <c r="H12" s="20">
        <f>财政困难系数!B17</f>
        <v>50.1053199117622</v>
      </c>
    </row>
    <row r="13" ht="18.75" spans="1:8">
      <c r="A13" s="18" t="s">
        <v>35</v>
      </c>
      <c r="B13" s="19">
        <f>4734439-B14</f>
        <v>4066759</v>
      </c>
      <c r="C13" s="19">
        <f>7338245-C14</f>
        <v>6303359</v>
      </c>
      <c r="D13" s="20">
        <v>9225</v>
      </c>
      <c r="E13" s="21">
        <v>189150</v>
      </c>
      <c r="F13" s="20">
        <v>7855</v>
      </c>
      <c r="G13" s="20">
        <v>18006</v>
      </c>
      <c r="H13" s="20">
        <f>财政困难系数!B18</f>
        <v>44.3056655582066</v>
      </c>
    </row>
    <row r="14" ht="18.75" spans="1:8">
      <c r="A14" s="18" t="s">
        <v>37</v>
      </c>
      <c r="B14" s="19">
        <v>667680</v>
      </c>
      <c r="C14" s="19">
        <v>1034886</v>
      </c>
      <c r="D14" s="20">
        <v>1897</v>
      </c>
      <c r="E14" s="21">
        <v>23698</v>
      </c>
      <c r="F14" s="20">
        <v>2577</v>
      </c>
      <c r="G14" s="20">
        <v>1089</v>
      </c>
      <c r="H14" s="20">
        <f>财政困难系数!B19</f>
        <v>40.2676316472546</v>
      </c>
    </row>
    <row r="15" ht="18.75" spans="1:8">
      <c r="A15" s="18" t="s">
        <v>39</v>
      </c>
      <c r="B15" s="19">
        <v>2397479</v>
      </c>
      <c r="C15" s="19">
        <v>9071757</v>
      </c>
      <c r="D15" s="20">
        <v>82572</v>
      </c>
      <c r="E15" s="21">
        <v>652198</v>
      </c>
      <c r="F15" s="20">
        <v>3456</v>
      </c>
      <c r="G15" s="20">
        <v>5456</v>
      </c>
      <c r="H15" s="20">
        <f>财政困难系数!B20</f>
        <v>63.8324768723195</v>
      </c>
    </row>
    <row r="16" ht="18.75" spans="1:8">
      <c r="A16" s="18" t="s">
        <v>41</v>
      </c>
      <c r="B16" s="19">
        <f>2075427-B17</f>
        <v>1921102</v>
      </c>
      <c r="C16" s="19">
        <f>4562442-C17</f>
        <v>4223188</v>
      </c>
      <c r="D16" s="20">
        <v>15724</v>
      </c>
      <c r="E16" s="21">
        <v>147626</v>
      </c>
      <c r="F16" s="20">
        <v>4018</v>
      </c>
      <c r="G16" s="20">
        <v>14017</v>
      </c>
      <c r="H16" s="20">
        <f>财政困难系数!B21</f>
        <v>60.0315207854221</v>
      </c>
    </row>
    <row r="17" ht="18.75" spans="1:8">
      <c r="A17" s="18" t="s">
        <v>42</v>
      </c>
      <c r="B17" s="19">
        <v>154325</v>
      </c>
      <c r="C17" s="19">
        <v>339254</v>
      </c>
      <c r="D17" s="20">
        <v>1342</v>
      </c>
      <c r="E17" s="21">
        <v>727</v>
      </c>
      <c r="F17" s="20">
        <v>508</v>
      </c>
      <c r="G17" s="20">
        <v>171</v>
      </c>
      <c r="H17" s="20">
        <f>财政困难系数!B22</f>
        <v>39.0892680112888</v>
      </c>
    </row>
    <row r="18" ht="18.75" spans="1:8">
      <c r="A18" s="18" t="s">
        <v>43</v>
      </c>
      <c r="B18" s="19">
        <v>1862461</v>
      </c>
      <c r="C18" s="19">
        <v>5762320</v>
      </c>
      <c r="D18" s="20">
        <v>38795</v>
      </c>
      <c r="E18" s="21">
        <v>455196</v>
      </c>
      <c r="F18" s="20">
        <v>5907</v>
      </c>
      <c r="G18" s="20">
        <v>16050</v>
      </c>
      <c r="H18" s="20">
        <f>财政困难系数!B23</f>
        <v>68.2012189699965</v>
      </c>
    </row>
    <row r="19" ht="18.75" spans="1:8">
      <c r="A19" s="18" t="s">
        <v>45</v>
      </c>
      <c r="B19" s="19">
        <f>6368165-B20</f>
        <v>5755185</v>
      </c>
      <c r="C19" s="19">
        <f>14852641-C20</f>
        <v>13422972</v>
      </c>
      <c r="D19" s="20">
        <v>15462</v>
      </c>
      <c r="E19" s="21">
        <v>558795</v>
      </c>
      <c r="F19" s="20">
        <v>8624</v>
      </c>
      <c r="G19" s="20">
        <v>21539</v>
      </c>
      <c r="H19" s="20">
        <f>财政困难系数!B24</f>
        <v>59.7241832262725</v>
      </c>
    </row>
    <row r="20" ht="18.75" spans="1:8">
      <c r="A20" s="18" t="s">
        <v>49</v>
      </c>
      <c r="B20" s="19">
        <v>612980</v>
      </c>
      <c r="C20" s="19">
        <v>1429669</v>
      </c>
      <c r="D20" s="20">
        <v>3039</v>
      </c>
      <c r="E20" s="21">
        <v>27900</v>
      </c>
      <c r="F20" s="20">
        <v>1609</v>
      </c>
      <c r="G20" s="20">
        <v>750</v>
      </c>
      <c r="H20" s="20">
        <f>财政困难系数!B25</f>
        <v>43.3625552756493</v>
      </c>
    </row>
    <row r="21" ht="18.75" spans="1:8">
      <c r="A21" s="18" t="s">
        <v>50</v>
      </c>
      <c r="B21" s="19">
        <v>3720474</v>
      </c>
      <c r="C21" s="19">
        <v>14243574</v>
      </c>
      <c r="D21" s="20">
        <v>104105</v>
      </c>
      <c r="E21" s="21">
        <v>1283608</v>
      </c>
      <c r="F21" s="20">
        <v>10229</v>
      </c>
      <c r="G21" s="20">
        <v>6988</v>
      </c>
      <c r="H21" s="20">
        <f>财政困难系数!B26</f>
        <v>69.1905821586</v>
      </c>
    </row>
    <row r="22" ht="18.75" spans="1:8">
      <c r="A22" s="18" t="s">
        <v>53</v>
      </c>
      <c r="B22" s="19">
        <v>4106046</v>
      </c>
      <c r="C22" s="19">
        <v>7688949</v>
      </c>
      <c r="D22" s="20">
        <v>56627</v>
      </c>
      <c r="E22" s="21">
        <v>470490</v>
      </c>
      <c r="F22" s="20">
        <v>6130</v>
      </c>
      <c r="G22" s="20">
        <v>17546</v>
      </c>
      <c r="H22" s="20">
        <f>财政困难系数!B27</f>
        <v>67.8602337117107</v>
      </c>
    </row>
    <row r="23" ht="18.75" spans="1:8">
      <c r="A23" s="18" t="s">
        <v>56</v>
      </c>
      <c r="B23" s="19">
        <v>2840418</v>
      </c>
      <c r="C23" s="19">
        <v>10370863</v>
      </c>
      <c r="D23" s="20">
        <v>60342</v>
      </c>
      <c r="E23" s="21">
        <v>506799</v>
      </c>
      <c r="F23" s="20">
        <v>6527</v>
      </c>
      <c r="G23" s="20">
        <v>23044</v>
      </c>
      <c r="H23" s="20">
        <f>财政困难系数!B28</f>
        <v>72.1816909616787</v>
      </c>
    </row>
    <row r="24" ht="18.75" spans="1:8">
      <c r="A24" s="18" t="s">
        <v>59</v>
      </c>
      <c r="B24" s="19">
        <f>7306456-B25</f>
        <v>6869044</v>
      </c>
      <c r="C24" s="19">
        <f>8258610-C25</f>
        <v>7764195</v>
      </c>
      <c r="D24" s="20">
        <v>28822</v>
      </c>
      <c r="E24" s="21">
        <v>241663</v>
      </c>
      <c r="F24" s="20">
        <v>6833</v>
      </c>
      <c r="G24" s="20">
        <v>13655</v>
      </c>
      <c r="H24" s="20">
        <f>财政困难系数!B29</f>
        <v>54.4635664144099</v>
      </c>
    </row>
    <row r="25" ht="18.75" spans="1:8">
      <c r="A25" s="18" t="s">
        <v>61</v>
      </c>
      <c r="B25" s="19">
        <v>437412</v>
      </c>
      <c r="C25" s="19">
        <v>494415</v>
      </c>
      <c r="D25" s="20">
        <v>290</v>
      </c>
      <c r="E25" s="21">
        <v>0</v>
      </c>
      <c r="F25" s="20">
        <v>803</v>
      </c>
      <c r="G25" s="20">
        <v>0</v>
      </c>
      <c r="H25" s="20">
        <f>财政困难系数!B30</f>
        <v>30.7992468601305</v>
      </c>
    </row>
    <row r="26" ht="18.75" spans="1:8">
      <c r="A26" s="18" t="s">
        <v>62</v>
      </c>
      <c r="B26" s="19">
        <v>1842133</v>
      </c>
      <c r="C26" s="19">
        <v>6521646</v>
      </c>
      <c r="D26" s="20">
        <v>71432</v>
      </c>
      <c r="E26" s="21">
        <v>514866</v>
      </c>
      <c r="F26" s="20">
        <v>956</v>
      </c>
      <c r="G26" s="20">
        <v>8139</v>
      </c>
      <c r="H26" s="20">
        <f>财政困难系数!B31</f>
        <v>74.8985610065451</v>
      </c>
    </row>
    <row r="27" ht="18.75" spans="1:8">
      <c r="A27" s="18" t="s">
        <v>64</v>
      </c>
      <c r="B27" s="19">
        <v>432588</v>
      </c>
      <c r="C27" s="19">
        <v>1044011</v>
      </c>
      <c r="D27" s="20">
        <v>2983</v>
      </c>
      <c r="E27" s="21">
        <v>29076</v>
      </c>
      <c r="F27" s="20">
        <v>216</v>
      </c>
      <c r="G27" s="20">
        <v>305</v>
      </c>
      <c r="H27" s="20">
        <f>财政困难系数!B32</f>
        <v>69.3583984802435</v>
      </c>
    </row>
    <row r="28" ht="18.75" spans="1:8">
      <c r="A28" s="18" t="s">
        <v>65</v>
      </c>
      <c r="B28" s="19">
        <v>2697393</v>
      </c>
      <c r="C28" s="19">
        <v>4313047</v>
      </c>
      <c r="D28" s="20">
        <v>28878</v>
      </c>
      <c r="E28" s="21">
        <v>108547</v>
      </c>
      <c r="F28" s="20">
        <v>3103</v>
      </c>
      <c r="G28" s="20">
        <v>2886</v>
      </c>
      <c r="H28" s="20">
        <f>财政困难系数!B33</f>
        <v>58.2258558127451</v>
      </c>
    </row>
    <row r="29" ht="18.75" spans="1:8">
      <c r="A29" s="18" t="s">
        <v>68</v>
      </c>
      <c r="B29" s="19">
        <v>5041363</v>
      </c>
      <c r="C29" s="19">
        <v>13122441</v>
      </c>
      <c r="D29" s="20">
        <v>112591</v>
      </c>
      <c r="E29" s="21">
        <v>1668051</v>
      </c>
      <c r="F29" s="20">
        <v>5768</v>
      </c>
      <c r="G29" s="20">
        <v>4740</v>
      </c>
      <c r="H29" s="20">
        <f>财政困难系数!B34</f>
        <v>65.3738869968103</v>
      </c>
    </row>
    <row r="30" ht="18.75" spans="1:8">
      <c r="A30" s="18" t="s">
        <v>70</v>
      </c>
      <c r="B30" s="19">
        <v>1185839</v>
      </c>
      <c r="C30" s="19">
        <v>4745518</v>
      </c>
      <c r="D30" s="20">
        <v>116978</v>
      </c>
      <c r="E30" s="21">
        <v>469223</v>
      </c>
      <c r="F30" s="20">
        <v>1128</v>
      </c>
      <c r="G30" s="20">
        <v>2246</v>
      </c>
      <c r="H30" s="20">
        <f>财政困难系数!B35</f>
        <v>71.0584736371877</v>
      </c>
    </row>
    <row r="31" ht="18.75" spans="1:8">
      <c r="A31" s="18" t="s">
        <v>73</v>
      </c>
      <c r="B31" s="19">
        <v>1588421</v>
      </c>
      <c r="C31" s="19">
        <v>5449609</v>
      </c>
      <c r="D31" s="20">
        <v>106071</v>
      </c>
      <c r="E31" s="21">
        <v>822775</v>
      </c>
      <c r="F31" s="20">
        <v>1429</v>
      </c>
      <c r="G31" s="20">
        <v>3837</v>
      </c>
      <c r="H31" s="20">
        <f>财政困难系数!B36</f>
        <v>72.7259452812139</v>
      </c>
    </row>
    <row r="32" ht="18.75" spans="1:8">
      <c r="A32" s="18" t="s">
        <v>75</v>
      </c>
      <c r="B32" s="19">
        <v>64875</v>
      </c>
      <c r="C32" s="19">
        <v>246109</v>
      </c>
      <c r="D32" s="20">
        <v>3307</v>
      </c>
      <c r="E32" s="21">
        <v>16658</v>
      </c>
      <c r="F32" s="20">
        <v>52</v>
      </c>
      <c r="G32" s="20">
        <v>114</v>
      </c>
      <c r="H32" s="20">
        <f>财政困难系数!B37</f>
        <v>76.5986110855122</v>
      </c>
    </row>
    <row r="33" ht="18.75" spans="1:8">
      <c r="A33" s="18" t="s">
        <v>76</v>
      </c>
      <c r="B33" s="19">
        <v>2312912</v>
      </c>
      <c r="C33" s="19">
        <v>5278290</v>
      </c>
      <c r="D33" s="20">
        <v>31556</v>
      </c>
      <c r="E33" s="21">
        <v>434190</v>
      </c>
      <c r="F33" s="20">
        <v>2349</v>
      </c>
      <c r="G33" s="20">
        <v>8579</v>
      </c>
      <c r="H33" s="20">
        <f>财政困难系数!B38</f>
        <v>62.0047797048817</v>
      </c>
    </row>
    <row r="34" ht="18.75" spans="1:8">
      <c r="A34" s="18" t="s">
        <v>78</v>
      </c>
      <c r="B34" s="19">
        <v>1043364</v>
      </c>
      <c r="C34" s="19">
        <v>3217627</v>
      </c>
      <c r="D34" s="20">
        <v>38438</v>
      </c>
      <c r="E34" s="21">
        <v>394465</v>
      </c>
      <c r="F34" s="20">
        <v>2620</v>
      </c>
      <c r="G34" s="20">
        <v>6910</v>
      </c>
      <c r="H34" s="20">
        <f>财政困难系数!B39</f>
        <v>84.0135877811936</v>
      </c>
    </row>
    <row r="35" ht="18.75" spans="1:8">
      <c r="A35" s="18" t="s">
        <v>81</v>
      </c>
      <c r="B35" s="19">
        <v>280069</v>
      </c>
      <c r="C35" s="19">
        <v>439333</v>
      </c>
      <c r="D35" s="20">
        <v>17344</v>
      </c>
      <c r="E35" s="21">
        <v>59273</v>
      </c>
      <c r="F35" s="20">
        <v>422</v>
      </c>
      <c r="G35" s="20">
        <v>1128</v>
      </c>
      <c r="H35" s="20">
        <f>财政困难系数!B40</f>
        <v>86.5955935151776</v>
      </c>
    </row>
    <row r="36" ht="18.75" spans="1:8">
      <c r="A36" s="18" t="s">
        <v>83</v>
      </c>
      <c r="B36" s="19">
        <v>375049</v>
      </c>
      <c r="C36" s="19">
        <v>599093</v>
      </c>
      <c r="D36" s="20">
        <v>14459</v>
      </c>
      <c r="E36" s="21">
        <v>161619</v>
      </c>
      <c r="F36" s="20">
        <v>673</v>
      </c>
      <c r="G36" s="20">
        <v>957</v>
      </c>
      <c r="H36" s="20">
        <f>财政困难系数!B41</f>
        <v>80.3453926276961</v>
      </c>
    </row>
    <row r="37" ht="18.75" spans="1:8">
      <c r="A37" s="18" t="s">
        <v>85</v>
      </c>
      <c r="B37" s="19">
        <v>1065501</v>
      </c>
      <c r="C37" s="19">
        <v>1648754</v>
      </c>
      <c r="D37" s="20">
        <v>47243</v>
      </c>
      <c r="E37" s="21">
        <v>270144</v>
      </c>
      <c r="F37" s="20">
        <v>2056</v>
      </c>
      <c r="G37" s="20">
        <v>926</v>
      </c>
      <c r="H37" s="20">
        <f>财政困难系数!B42</f>
        <v>67.5874150678816</v>
      </c>
    </row>
    <row r="38" ht="18.75" spans="1:8">
      <c r="A38" s="18" t="s">
        <v>87</v>
      </c>
      <c r="B38" s="19">
        <v>116661</v>
      </c>
      <c r="C38" s="19">
        <v>86093</v>
      </c>
      <c r="D38" s="20"/>
      <c r="E38" s="21"/>
      <c r="F38" s="20"/>
      <c r="G38" s="20"/>
      <c r="H38" s="20">
        <f>财政困难系数!B43</f>
        <v>90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6" sqref="B6"/>
    </sheetView>
  </sheetViews>
  <sheetFormatPr defaultColWidth="9" defaultRowHeight="15.75" outlineLevelRow="4" outlineLevelCol="1"/>
  <sheetData>
    <row r="1" spans="1:2">
      <c r="A1" t="s">
        <v>211</v>
      </c>
      <c r="B1" t="s">
        <v>212</v>
      </c>
    </row>
    <row r="2" spans="1:2">
      <c r="A2">
        <v>0</v>
      </c>
      <c r="B2">
        <v>2000</v>
      </c>
    </row>
    <row r="3" spans="1:2">
      <c r="A3">
        <v>50</v>
      </c>
      <c r="B3">
        <v>3000</v>
      </c>
    </row>
    <row r="4" spans="1:2">
      <c r="A4">
        <v>100</v>
      </c>
      <c r="B4">
        <v>4000</v>
      </c>
    </row>
    <row r="5" spans="1:2">
      <c r="A5">
        <v>200</v>
      </c>
      <c r="B5">
        <v>5000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opLeftCell="A13" workbookViewId="0">
      <selection activeCell="A7" sqref="A7:A43"/>
    </sheetView>
  </sheetViews>
  <sheetFormatPr defaultColWidth="9" defaultRowHeight="15.75" outlineLevelCol="1"/>
  <cols>
    <col min="1" max="1" width="21" customWidth="true"/>
    <col min="2" max="2" width="23.875" customWidth="true"/>
  </cols>
  <sheetData>
    <row r="1" spans="1:2">
      <c r="A1" s="1" t="s">
        <v>213</v>
      </c>
      <c r="B1" s="2"/>
    </row>
    <row r="2" spans="1:2">
      <c r="A2" s="3" t="s">
        <v>92</v>
      </c>
      <c r="B2" s="4" t="s">
        <v>214</v>
      </c>
    </row>
    <row r="3" spans="1:2">
      <c r="A3" s="3"/>
      <c r="B3" s="5"/>
    </row>
    <row r="4" spans="1:2">
      <c r="A4" s="3"/>
      <c r="B4" s="6"/>
    </row>
    <row r="5" spans="1:2">
      <c r="A5" s="7" t="s">
        <v>215</v>
      </c>
      <c r="B5" s="8"/>
    </row>
    <row r="6" spans="1:2">
      <c r="A6" s="9" t="s">
        <v>10</v>
      </c>
      <c r="B6" s="10"/>
    </row>
    <row r="7" spans="1:2">
      <c r="A7" s="11" t="s">
        <v>12</v>
      </c>
      <c r="B7" s="12">
        <v>20</v>
      </c>
    </row>
    <row r="8" spans="1:2">
      <c r="A8" s="11" t="s">
        <v>14</v>
      </c>
      <c r="B8" s="13">
        <v>46.6486276180881</v>
      </c>
    </row>
    <row r="9" spans="1:2">
      <c r="A9" s="11" t="s">
        <v>16</v>
      </c>
      <c r="B9" s="13">
        <v>67.7485057130513</v>
      </c>
    </row>
    <row r="10" spans="1:2">
      <c r="A10" s="11" t="s">
        <v>19</v>
      </c>
      <c r="B10" s="13">
        <v>63.2292574727142</v>
      </c>
    </row>
    <row r="11" spans="1:2">
      <c r="A11" s="14" t="s">
        <v>216</v>
      </c>
      <c r="B11" s="15">
        <v>65.773817114675</v>
      </c>
    </row>
    <row r="12" spans="1:2">
      <c r="A12" s="16" t="s">
        <v>217</v>
      </c>
      <c r="B12" s="12">
        <v>73.2341945721413</v>
      </c>
    </row>
    <row r="13" spans="1:2">
      <c r="A13" s="11" t="s">
        <v>25</v>
      </c>
      <c r="B13" s="13">
        <v>46.7581609220622</v>
      </c>
    </row>
    <row r="14" spans="1:2">
      <c r="A14" s="11" t="s">
        <v>26</v>
      </c>
      <c r="B14" s="13">
        <v>78.8396234513595</v>
      </c>
    </row>
    <row r="15" spans="1:2">
      <c r="A15" s="14" t="s">
        <v>28</v>
      </c>
      <c r="B15" s="15">
        <v>78.45968749018</v>
      </c>
    </row>
    <row r="16" spans="1:2">
      <c r="A16" s="16" t="s">
        <v>30</v>
      </c>
      <c r="B16" s="12">
        <v>24.5137659604065</v>
      </c>
    </row>
    <row r="17" spans="1:2">
      <c r="A17" s="11" t="s">
        <v>32</v>
      </c>
      <c r="B17" s="13">
        <v>50.1053199117622</v>
      </c>
    </row>
    <row r="18" spans="1:2">
      <c r="A18" s="11" t="s">
        <v>218</v>
      </c>
      <c r="B18" s="13">
        <v>44.3056655582066</v>
      </c>
    </row>
    <row r="19" spans="1:2">
      <c r="A19" s="11" t="s">
        <v>37</v>
      </c>
      <c r="B19" s="13">
        <v>40.2676316472546</v>
      </c>
    </row>
    <row r="20" spans="1:2">
      <c r="A20" s="11" t="s">
        <v>39</v>
      </c>
      <c r="B20" s="13">
        <v>63.8324768723195</v>
      </c>
    </row>
    <row r="21" spans="1:2">
      <c r="A21" s="11" t="s">
        <v>219</v>
      </c>
      <c r="B21" s="13">
        <v>60.0315207854221</v>
      </c>
    </row>
    <row r="22" spans="1:2">
      <c r="A22" s="11" t="s">
        <v>42</v>
      </c>
      <c r="B22" s="13">
        <v>39.0892680112888</v>
      </c>
    </row>
    <row r="23" spans="1:2">
      <c r="A23" s="11" t="s">
        <v>43</v>
      </c>
      <c r="B23" s="13">
        <v>68.2012189699965</v>
      </c>
    </row>
    <row r="24" spans="1:2">
      <c r="A24" s="11" t="s">
        <v>220</v>
      </c>
      <c r="B24" s="13">
        <v>59.7241832262725</v>
      </c>
    </row>
    <row r="25" spans="1:2">
      <c r="A25" s="11" t="s">
        <v>49</v>
      </c>
      <c r="B25" s="13">
        <v>43.3625552756493</v>
      </c>
    </row>
    <row r="26" spans="1:2">
      <c r="A26" s="16" t="s">
        <v>50</v>
      </c>
      <c r="B26" s="12">
        <v>69.1905821586</v>
      </c>
    </row>
    <row r="27" spans="1:2">
      <c r="A27" s="11" t="s">
        <v>53</v>
      </c>
      <c r="B27" s="13">
        <v>67.8602337117107</v>
      </c>
    </row>
    <row r="28" spans="1:2">
      <c r="A28" s="11" t="s">
        <v>56</v>
      </c>
      <c r="B28" s="13">
        <v>72.1816909616787</v>
      </c>
    </row>
    <row r="29" spans="1:2">
      <c r="A29" s="11" t="s">
        <v>221</v>
      </c>
      <c r="B29" s="13">
        <v>54.4635664144099</v>
      </c>
    </row>
    <row r="30" spans="1:2">
      <c r="A30" s="11" t="s">
        <v>61</v>
      </c>
      <c r="B30" s="13">
        <v>30.7992468601305</v>
      </c>
    </row>
    <row r="31" spans="1:2">
      <c r="A31" s="11" t="s">
        <v>62</v>
      </c>
      <c r="B31" s="13">
        <v>74.8985610065451</v>
      </c>
    </row>
    <row r="32" spans="1:2">
      <c r="A32" s="14" t="s">
        <v>64</v>
      </c>
      <c r="B32" s="15">
        <v>69.3583984802435</v>
      </c>
    </row>
    <row r="33" spans="1:2">
      <c r="A33" s="16" t="s">
        <v>65</v>
      </c>
      <c r="B33" s="12">
        <v>58.2258558127451</v>
      </c>
    </row>
    <row r="34" spans="1:2">
      <c r="A34" s="11" t="s">
        <v>68</v>
      </c>
      <c r="B34" s="13">
        <v>65.3738869968103</v>
      </c>
    </row>
    <row r="35" spans="1:2">
      <c r="A35" s="11" t="s">
        <v>70</v>
      </c>
      <c r="B35" s="13">
        <v>71.0584736371877</v>
      </c>
    </row>
    <row r="36" spans="1:2">
      <c r="A36" s="11" t="s">
        <v>73</v>
      </c>
      <c r="B36" s="13">
        <v>72.7259452812139</v>
      </c>
    </row>
    <row r="37" spans="1:2">
      <c r="A37" s="14" t="s">
        <v>75</v>
      </c>
      <c r="B37" s="15">
        <v>76.5986110855122</v>
      </c>
    </row>
    <row r="38" spans="1:2">
      <c r="A38" s="16" t="s">
        <v>76</v>
      </c>
      <c r="B38" s="12">
        <v>62.0047797048817</v>
      </c>
    </row>
    <row r="39" spans="1:2">
      <c r="A39" s="11" t="s">
        <v>78</v>
      </c>
      <c r="B39" s="13">
        <v>84.0135877811936</v>
      </c>
    </row>
    <row r="40" spans="1:2">
      <c r="A40" s="11" t="s">
        <v>81</v>
      </c>
      <c r="B40" s="13">
        <v>86.5955935151776</v>
      </c>
    </row>
    <row r="41" spans="1:2">
      <c r="A41" s="11" t="s">
        <v>83</v>
      </c>
      <c r="B41" s="13">
        <v>80.3453926276961</v>
      </c>
    </row>
    <row r="42" spans="1:2">
      <c r="A42" s="11" t="s">
        <v>85</v>
      </c>
      <c r="B42" s="13">
        <v>67.5874150678816</v>
      </c>
    </row>
    <row r="43" spans="1:2">
      <c r="A43" s="14" t="s">
        <v>87</v>
      </c>
      <c r="B43" s="15">
        <v>90</v>
      </c>
    </row>
  </sheetData>
  <mergeCells count="3">
    <mergeCell ref="A1:B1"/>
    <mergeCell ref="A2:A4"/>
    <mergeCell ref="B2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资金分配表</vt:lpstr>
      <vt:lpstr>县域养老服务体系创新试点经费测算情况表</vt:lpstr>
      <vt:lpstr>老年助餐经费测算情况表</vt:lpstr>
      <vt:lpstr>县域养老服务体系创新试点方向基础数据</vt:lpstr>
      <vt:lpstr>老年助餐方向基础数据</vt:lpstr>
      <vt:lpstr>县域养老分档金额</vt:lpstr>
      <vt:lpstr>财政困难系数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2018-05-29T03:28:41Z</dcterms:created>
  <dcterms:modified xsi:type="dcterms:W3CDTF">2026-07-08T18:09:27Z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